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040" yWindow="65521" windowWidth="17175" windowHeight="11985" firstSheet="5" activeTab="12"/>
  </bookViews>
  <sheets>
    <sheet name="LWDA 14" sheetId="1" r:id="rId1"/>
    <sheet name="County AJC Comp. Budget" sheetId="2" r:id="rId2"/>
    <sheet name="Sheet1" sheetId="3" state="hidden" r:id="rId3"/>
    <sheet name="Cost by Allocation Base" sheetId="4" r:id="rId4"/>
    <sheet name="Office Sharing Payment Ratio" sheetId="5" r:id="rId5"/>
    <sheet name="Square Footage" sheetId="6" r:id="rId6"/>
    <sheet name="Internet Connections" sheetId="7" state="hidden" r:id="rId7"/>
    <sheet name="Telephone Lines" sheetId="8" state="hidden" r:id="rId8"/>
    <sheet name="FTE" sheetId="9" r:id="rId9"/>
    <sheet name="Customers Served" sheetId="10" state="hidden" r:id="rId10"/>
    <sheet name="Direct Costs" sheetId="11" r:id="rId11"/>
    <sheet name="Total Contributions by Allocati" sheetId="12" r:id="rId12"/>
    <sheet name="Infrastructure Budget" sheetId="13" r:id="rId13"/>
  </sheets>
  <definedNames/>
  <calcPr fullCalcOnLoad="1"/>
  <pivotCaches>
    <pivotCache cacheId="2" r:id="rId14"/>
    <pivotCache cacheId="1" r:id="rId15"/>
  </pivotCaches>
</workbook>
</file>

<file path=xl/sharedStrings.xml><?xml version="1.0" encoding="utf-8"?>
<sst xmlns="http://schemas.openxmlformats.org/spreadsheetml/2006/main" count="861" uniqueCount="177">
  <si>
    <t>TOTAL</t>
  </si>
  <si>
    <t>ONE-STOP OPERATING BUDGET</t>
  </si>
  <si>
    <t>A County American Job Center (Comprehensive)</t>
  </si>
  <si>
    <r>
      <rPr>
        <b/>
        <sz val="11"/>
        <rFont val="Arial Narrow"/>
        <family val="2"/>
      </rPr>
      <t>Number of Internet Connections</t>
    </r>
  </si>
  <si>
    <r>
      <rPr>
        <b/>
        <sz val="11"/>
        <rFont val="Arial Narrow"/>
        <family val="2"/>
      </rPr>
      <t>Number of Telephone Lines</t>
    </r>
  </si>
  <si>
    <r>
      <rPr>
        <b/>
        <sz val="11"/>
        <rFont val="Arial Narrow"/>
        <family val="2"/>
      </rPr>
      <t>Total</t>
    </r>
  </si>
  <si>
    <r>
      <rPr>
        <b/>
        <sz val="11"/>
        <rFont val="Arial Narrow"/>
        <family val="2"/>
      </rPr>
      <t>Partner Program</t>
    </r>
  </si>
  <si>
    <r>
      <rPr>
        <b/>
        <sz val="11"/>
        <rFont val="Arial Narrow"/>
        <family val="2"/>
      </rPr>
      <t># of Staff</t>
    </r>
  </si>
  <si>
    <r>
      <rPr>
        <b/>
        <sz val="11"/>
        <rFont val="Arial Narrow"/>
        <family val="2"/>
      </rPr>
      <t>Weekly Staff Hours</t>
    </r>
  </si>
  <si>
    <t>Partner Program</t>
  </si>
  <si>
    <t># of Staff</t>
  </si>
  <si>
    <t>Weekly Staff Hours</t>
  </si>
  <si>
    <t># of FTEs</t>
  </si>
  <si>
    <t>Payment Ratio</t>
  </si>
  <si>
    <t>Office Number</t>
  </si>
  <si>
    <t>Notes:</t>
  </si>
  <si>
    <r>
      <t>Office Sharing / Payment Ratio</t>
    </r>
    <r>
      <rPr>
        <vertAlign val="superscript"/>
        <sz val="18"/>
        <color indexed="8"/>
        <rFont val="Calibri"/>
        <family val="2"/>
      </rPr>
      <t xml:space="preserve">1 </t>
    </r>
  </si>
  <si>
    <r>
      <rPr>
        <b/>
        <sz val="11"/>
        <rFont val="Arial Narrow"/>
        <family val="2"/>
      </rPr>
      <t>Assigned Office Space / Square Footage</t>
    </r>
  </si>
  <si>
    <r>
      <rPr>
        <b/>
        <sz val="11"/>
        <rFont val="Arial Narrow"/>
        <family val="2"/>
      </rPr>
      <t>Square Footage Paid for Based on Office Sharing / Payment Ratio</t>
    </r>
  </si>
  <si>
    <r>
      <rPr>
        <b/>
        <sz val="11"/>
        <rFont val="Arial Narrow"/>
        <family val="2"/>
      </rPr>
      <t>% of Total Square Footage</t>
    </r>
  </si>
  <si>
    <r>
      <rPr>
        <b/>
        <sz val="11"/>
        <rFont val="Arial Narrow"/>
        <family val="2"/>
      </rPr>
      <t>Square Footage Cost</t>
    </r>
  </si>
  <si>
    <r>
      <rPr>
        <b/>
        <sz val="11"/>
        <rFont val="Arial Narrow"/>
        <family val="2"/>
      </rPr>
      <t>Square Footage Cost Breakdown by Cost Category</t>
    </r>
  </si>
  <si>
    <r>
      <rPr>
        <b/>
        <sz val="11"/>
        <rFont val="Arial Narrow"/>
        <family val="2"/>
      </rPr>
      <t>Infrastructure Costs</t>
    </r>
  </si>
  <si>
    <r>
      <rPr>
        <b/>
        <sz val="11"/>
        <rFont val="Arial Narrow"/>
        <family val="2"/>
      </rPr>
      <t>Internet Connections Paid for Based on Office Sharing/Payment Ratio</t>
    </r>
  </si>
  <si>
    <r>
      <rPr>
        <b/>
        <sz val="11"/>
        <rFont val="Arial Narrow"/>
        <family val="2"/>
      </rPr>
      <t>% of Total Internet Connections</t>
    </r>
  </si>
  <si>
    <r>
      <rPr>
        <b/>
        <sz val="11"/>
        <rFont val="Arial Narrow"/>
        <family val="2"/>
      </rPr>
      <t>Internet Connections Cost</t>
    </r>
  </si>
  <si>
    <r>
      <rPr>
        <b/>
        <sz val="11"/>
        <rFont val="Arial Narrow"/>
        <family val="2"/>
      </rPr>
      <t>Internet Connections Cost Breakdown by Cost Category</t>
    </r>
  </si>
  <si>
    <r>
      <rPr>
        <b/>
        <sz val="11"/>
        <rFont val="Arial Narrow"/>
        <family val="2"/>
      </rPr>
      <t>Total Office Internet Connections</t>
    </r>
  </si>
  <si>
    <t>Internet Connections</t>
  </si>
  <si>
    <r>
      <rPr>
        <b/>
        <sz val="11"/>
        <rFont val="Arial Narrow"/>
        <family val="2"/>
      </rPr>
      <t>Telephone Lines Paid for Based on Office Sharing / Payment Ratio</t>
    </r>
  </si>
  <si>
    <r>
      <rPr>
        <b/>
        <sz val="11"/>
        <rFont val="Arial Narrow"/>
        <family val="2"/>
      </rPr>
      <t>% of Total Telephone Lines Utilized</t>
    </r>
  </si>
  <si>
    <r>
      <rPr>
        <b/>
        <sz val="11"/>
        <rFont val="Arial Narrow"/>
        <family val="2"/>
      </rPr>
      <t>Telephone Line Cost</t>
    </r>
  </si>
  <si>
    <r>
      <rPr>
        <b/>
        <sz val="11"/>
        <rFont val="Arial Narrow"/>
        <family val="2"/>
      </rPr>
      <t>Telephone Line Cost Breakdown by Cost Category</t>
    </r>
  </si>
  <si>
    <r>
      <rPr>
        <b/>
        <sz val="11"/>
        <rFont val="Arial Narrow"/>
        <family val="2"/>
      </rPr>
      <t>Total Office Telephone Lines</t>
    </r>
  </si>
  <si>
    <t>Telephone Lines</t>
  </si>
  <si>
    <r>
      <rPr>
        <vertAlign val="superscript"/>
        <sz val="11"/>
        <color indexed="8"/>
        <rFont val="Calibri"/>
        <family val="2"/>
      </rPr>
      <t>1</t>
    </r>
    <r>
      <rPr>
        <sz val="11"/>
        <color theme="1"/>
        <rFont val="Calibri"/>
        <family val="2"/>
      </rPr>
      <t xml:space="preserve"> These partners/programs are linked virtually through online service access to a program staff member via American Job Center resource rooms and through cross-trained front desk staff and other, physically co-located, partner staff who can provide information and referrals.
</t>
    </r>
    <r>
      <rPr>
        <vertAlign val="superscript"/>
        <sz val="11"/>
        <color indexed="8"/>
        <rFont val="Calibri"/>
        <family val="2"/>
      </rPr>
      <t xml:space="preserve">2 </t>
    </r>
    <r>
      <rPr>
        <sz val="11"/>
        <color theme="1"/>
        <rFont val="Calibri"/>
        <family val="2"/>
      </rPr>
      <t>Common / shared areas include:  resource rooms, conference rooms, classrooms, workshop rooms, staff break room/kitchen, bathrooms, etc.</t>
    </r>
  </si>
  <si>
    <r>
      <rPr>
        <b/>
        <sz val="11"/>
        <rFont val="Arial Narrow"/>
        <family val="2"/>
      </rPr>
      <t>FTEs</t>
    </r>
  </si>
  <si>
    <r>
      <rPr>
        <b/>
        <sz val="11"/>
        <rFont val="Arial Narrow"/>
        <family val="2"/>
      </rPr>
      <t>% of Total FTEs</t>
    </r>
  </si>
  <si>
    <r>
      <rPr>
        <b/>
        <sz val="11"/>
        <rFont val="Arial Narrow"/>
        <family val="2"/>
      </rPr>
      <t>FTE Cost</t>
    </r>
  </si>
  <si>
    <r>
      <rPr>
        <b/>
        <sz val="11"/>
        <rFont val="Arial Narrow"/>
        <family val="2"/>
      </rPr>
      <t>FTE Cost Breakdown by Cost Category</t>
    </r>
  </si>
  <si>
    <r>
      <t>Full- Time Equivalent (FTE)</t>
    </r>
    <r>
      <rPr>
        <vertAlign val="superscript"/>
        <sz val="20"/>
        <color indexed="9"/>
        <rFont val="Calibri"/>
        <family val="2"/>
      </rPr>
      <t>1</t>
    </r>
  </si>
  <si>
    <r>
      <rPr>
        <b/>
        <sz val="11"/>
        <rFont val="Arial Narrow"/>
        <family val="2"/>
      </rPr>
      <t># of Customers Served</t>
    </r>
  </si>
  <si>
    <r>
      <rPr>
        <b/>
        <sz val="11"/>
        <rFont val="Arial Narrow"/>
        <family val="2"/>
      </rPr>
      <t>% of Total Customers Served</t>
    </r>
  </si>
  <si>
    <r>
      <rPr>
        <b/>
        <sz val="11"/>
        <rFont val="Arial Narrow"/>
        <family val="2"/>
      </rPr>
      <t>Customers Served Cost</t>
    </r>
  </si>
  <si>
    <r>
      <rPr>
        <b/>
        <sz val="11"/>
        <rFont val="Arial Narrow"/>
        <family val="2"/>
      </rPr>
      <t>Customers Served Cost Breakdown by Cost Category</t>
    </r>
  </si>
  <si>
    <r>
      <t>Customers Served</t>
    </r>
    <r>
      <rPr>
        <vertAlign val="superscript"/>
        <sz val="20"/>
        <color indexed="8"/>
        <rFont val="Calibri"/>
        <family val="2"/>
      </rPr>
      <t>1</t>
    </r>
  </si>
  <si>
    <r>
      <rPr>
        <vertAlign val="superscript"/>
        <sz val="11"/>
        <color indexed="8"/>
        <rFont val="Calibri"/>
        <family val="2"/>
      </rPr>
      <t xml:space="preserve">1 </t>
    </r>
    <r>
      <rPr>
        <sz val="11"/>
        <color theme="1"/>
        <rFont val="Calibri"/>
        <family val="2"/>
      </rPr>
      <t>In this (hypothetical ) example, projections are based on (fictious) previous program year actual numbers, plus a projected increase of 2%.</t>
    </r>
  </si>
  <si>
    <t>Total Partner Contributions - Allocation Base</t>
  </si>
  <si>
    <r>
      <rPr>
        <sz val="20"/>
        <rFont val="Arial Narrow"/>
        <family val="2"/>
      </rPr>
      <t>Total Partner Contributions - By Cost Category</t>
    </r>
  </si>
  <si>
    <t>Sample MOU Partners</t>
  </si>
  <si>
    <t>Row Labels</t>
  </si>
  <si>
    <t>Customers Served</t>
  </si>
  <si>
    <t>FTE</t>
  </si>
  <si>
    <t>Number of Internet Connections</t>
  </si>
  <si>
    <t>Number of Telephone Lines</t>
  </si>
  <si>
    <t>Square Footage</t>
  </si>
  <si>
    <t>Grand Total</t>
  </si>
  <si>
    <t>Career Services</t>
  </si>
  <si>
    <t>Infrastructure Costs</t>
  </si>
  <si>
    <t>Shared Services</t>
  </si>
  <si>
    <t xml:space="preserve"> Cost</t>
  </si>
  <si>
    <t>Total</t>
  </si>
  <si>
    <t>Shared Direct</t>
  </si>
  <si>
    <t>Location</t>
  </si>
  <si>
    <t>Partner</t>
  </si>
  <si>
    <t>Supplies &amp; Materials</t>
  </si>
  <si>
    <t>Prof Svcs &amp; 3rd Party</t>
  </si>
  <si>
    <t>Salaries</t>
  </si>
  <si>
    <t>Benefits</t>
  </si>
  <si>
    <t>Travel</t>
  </si>
  <si>
    <t>Non-Shared Direct</t>
  </si>
  <si>
    <t>Shared-Direct</t>
  </si>
  <si>
    <t>Direct</t>
  </si>
  <si>
    <t>Prof. Svcs State</t>
  </si>
  <si>
    <t>Indirect</t>
  </si>
  <si>
    <t>Additional Costs</t>
  </si>
  <si>
    <t>RESEA</t>
  </si>
  <si>
    <t>TAA</t>
  </si>
  <si>
    <t>Vets</t>
  </si>
  <si>
    <t>Wagner Peyser</t>
  </si>
  <si>
    <t>SNAP</t>
  </si>
  <si>
    <t>Supplemntal Nutrition Assistance Protram</t>
  </si>
  <si>
    <t>Vocational Rehabilitation</t>
  </si>
  <si>
    <t>WIOA</t>
  </si>
  <si>
    <t>Rent</t>
  </si>
  <si>
    <t>Equipment Rentals &amp; Insurance</t>
  </si>
  <si>
    <t>Supplies</t>
  </si>
  <si>
    <t>Computer Upgrades</t>
  </si>
  <si>
    <t>Building Rent</t>
  </si>
  <si>
    <t>WIOA Staff</t>
  </si>
  <si>
    <t>RESEA Staff</t>
  </si>
  <si>
    <t>VETS Staff</t>
  </si>
  <si>
    <t>WP Staff</t>
  </si>
  <si>
    <t>SNAP Staff</t>
  </si>
  <si>
    <t>TAA Staff</t>
  </si>
  <si>
    <t>VETS</t>
  </si>
  <si>
    <t>Partner Organization</t>
  </si>
  <si>
    <t>Authorization / Category</t>
  </si>
  <si>
    <t>Adult Education</t>
  </si>
  <si>
    <t>Additional Partner</t>
  </si>
  <si>
    <t>Department of Health and Human Services</t>
  </si>
  <si>
    <t>Department of Rehabilitation Services</t>
  </si>
  <si>
    <t>WIOA title IV State Vocational Rehabilitation program, authorized under title I of the Rehabilitation Act of 1973 (29 U.S.C.720 et seq.)</t>
  </si>
  <si>
    <t>Senior Employment Service</t>
  </si>
  <si>
    <t>Senior Community Service Employment Program (SCSEP), authorized under title V of the Older Americans Act of 1965 (42 U.S.C. 3056 et seq.)</t>
  </si>
  <si>
    <t>Job Corps</t>
  </si>
  <si>
    <t>WIOA Title I C, Job Corps</t>
  </si>
  <si>
    <t>Jobs for Veterans State Grants (JVSG), authorized under chapter 41 of title 38, U.S.C.</t>
  </si>
  <si>
    <t>Temporary Assistance for Needy Families (TANF)</t>
  </si>
  <si>
    <t>Temporary Assistance for Needy Families (TANF), authorized under part A of title IV of the Social Security Act (42 U.S.C. 601et seq.)</t>
  </si>
  <si>
    <t>Trade Adjustment Assistance (TAA)</t>
  </si>
  <si>
    <t>Trade Adjustment Assistance (TAA), authorized under chapter 2 of title II of the Trade Act of 1974 (19 U.S.C. 2271et seq.)</t>
  </si>
  <si>
    <t>Unemployment Insurance (UI)</t>
  </si>
  <si>
    <t>Unemployment Insurance (UI) programs under state unemployment compensation laws</t>
  </si>
  <si>
    <t>Wagner-Peyser Employment Services (ES)</t>
  </si>
  <si>
    <t>WIOA Adult, Dislocated Workers, and Youth Programs</t>
  </si>
  <si>
    <t>Council of Governments</t>
  </si>
  <si>
    <t>WIOA title I Adult, Dislocated Workers, and Youth Programs</t>
  </si>
  <si>
    <r>
      <rPr>
        <sz val="11"/>
        <rFont val="Calibri"/>
        <family val="2"/>
      </rPr>
      <t xml:space="preserve">WIOA title III Wagner-Peyser Employment Services (ES), authorized under the Wagner-Peyser Act (29 U.S.C. 49 </t>
    </r>
    <r>
      <rPr>
        <i/>
        <sz val="11"/>
        <rFont val="Calibri"/>
        <family val="2"/>
      </rPr>
      <t xml:space="preserve">et seq.),  </t>
    </r>
    <r>
      <rPr>
        <sz val="11"/>
        <rFont val="Calibri"/>
        <family val="2"/>
      </rPr>
      <t>also providing the state’s public labor exchange</t>
    </r>
  </si>
  <si>
    <r>
      <rPr>
        <b/>
        <sz val="10"/>
        <color indexed="9"/>
        <rFont val="Calibri"/>
        <family val="2"/>
      </rPr>
      <t>Cost Category</t>
    </r>
  </si>
  <si>
    <r>
      <rPr>
        <b/>
        <sz val="10"/>
        <color indexed="9"/>
        <rFont val="Calibri"/>
        <family val="2"/>
      </rPr>
      <t>Cost Pool</t>
    </r>
  </si>
  <si>
    <r>
      <rPr>
        <b/>
        <sz val="10"/>
        <color indexed="9"/>
        <rFont val="Calibri"/>
        <family val="2"/>
      </rPr>
      <t>Cost Item</t>
    </r>
  </si>
  <si>
    <r>
      <rPr>
        <b/>
        <sz val="10"/>
        <color indexed="9"/>
        <rFont val="Calibri"/>
        <family val="2"/>
      </rPr>
      <t>Allocation Base</t>
    </r>
  </si>
  <si>
    <r>
      <rPr>
        <b/>
        <sz val="10"/>
        <color indexed="9"/>
        <rFont val="Calibri"/>
        <family val="2"/>
      </rPr>
      <t>Cost</t>
    </r>
  </si>
  <si>
    <t>Column Labels</t>
  </si>
  <si>
    <t>Direct Costs</t>
  </si>
  <si>
    <t>Shared-Direct Costs</t>
  </si>
  <si>
    <t>Non-Shared Direct Costs</t>
  </si>
  <si>
    <t>Shelbyville</t>
  </si>
  <si>
    <t>Phone &amp; Internet</t>
  </si>
  <si>
    <t>Tullahoma</t>
  </si>
  <si>
    <t>Prof Svcs State</t>
  </si>
  <si>
    <t>Training</t>
  </si>
  <si>
    <t>Decherd</t>
  </si>
  <si>
    <t>NO</t>
  </si>
  <si>
    <t>WIOA Title II Adult Education and Family Literacy Act (AEFLA) program</t>
  </si>
  <si>
    <t>YES</t>
  </si>
  <si>
    <t>McMinnville</t>
  </si>
  <si>
    <t>Fayetteville</t>
  </si>
  <si>
    <t>TN Dept of Labor &amp; WFD</t>
  </si>
  <si>
    <t>shared direct</t>
  </si>
  <si>
    <t>OSO</t>
  </si>
  <si>
    <t>VocRehab</t>
  </si>
  <si>
    <t>VocRehab Staff</t>
  </si>
  <si>
    <t>Billed Amount</t>
  </si>
  <si>
    <t>Atlantis</t>
  </si>
  <si>
    <t>Pandora</t>
  </si>
  <si>
    <t>Oz</t>
  </si>
  <si>
    <t>Neverland</t>
  </si>
  <si>
    <t>Physically Co- Located Neverland</t>
  </si>
  <si>
    <t>Physically Co- Located Atlantis</t>
  </si>
  <si>
    <t>Physically Co- Located Oz</t>
  </si>
  <si>
    <t>Physically Co- Located Pandora</t>
  </si>
  <si>
    <t xml:space="preserve"> American Job Center</t>
  </si>
  <si>
    <t>LWDA 14</t>
  </si>
  <si>
    <t>On this tab, all locations should be listed with an indication of co-location. All required and additional partners should be reflected in column A.</t>
  </si>
  <si>
    <t>All expenses should be listed by location and allocated properly.
Infrastructure and Additional costs (as indicated in Column C) must have an allocation method that is NOT direct (as indicated in Column F).
Shared Direct and Non-Shared Direct costs (as indicated in Column C) must have an allocation that IS direct (as indicated in Column F).</t>
  </si>
  <si>
    <t>This pivot must be refreshed if data in the "County AJC Comp. Budget" tab is updated.
This is a quick way to determin if costs are allocated properly in the County AJC Comp. Budget tab.
If an allocation method has more than one classification of costs, the % must be calculated based on location. This feeds into the tab for that allocation (in this case, the FTE tab).
The totals for each allocation method and the grand total also feed into the appropriate tabs going forward. Each future tab should balance to this one.</t>
  </si>
  <si>
    <t xml:space="preserve">This tab is completely manually entered. Each field will feed into future tabs to assist in the calculation by location. The colorcoding will help visually format each future tab. All partners for an area must be entered here if they have associated costs, regardless of if they are colocated. A '0' can be entered for the # of staff and hours so that the non-colocated partners are not charged for allocations based on location.
# of staff should reflect actual bodies - not part time. if you have 1 person who works on RESEA and SNAP, they are listed as 1 person for each - not .5 for each.
Weekly staff hours reflects the number of hours those staff members spend on that program (i.e. the 1 person for SNAP and RESEA would be listed as 17.5 hours and 17.5 hours.
# of FTEs is a calculated field based on a 37.5 hour work week. If an area is based on a 40 hour work week, the formula will need to be adjusted. (for the SNAP/RESEA person, this is where they will be reflected as a part time person)
The Payment Ratio column should reflect the percent of dedicated space that partner pays for. For example, if TAA and Vets share an office, they might split the cost of that office 50/50 or 70/30 - whichever they agree upon. </t>
  </si>
  <si>
    <t>Cost Allocation and Partner Contributions</t>
  </si>
  <si>
    <t>Common Space</t>
  </si>
  <si>
    <t>Total Square Footage</t>
  </si>
  <si>
    <t>Columns A, C, and D should link back to the "Office Sharing Payment Ratio" tab. The colors should coordinate with that tab as well.
Column B is manually entered and should reflect the amount of Square Footage for which that partner is directly responsible.
Column E takes Column B and multiplies it by the Payment Ratio on the Office Sharing Payment Ratio tab. This calculates the % of Sq Ft for which that partner will be billed.
Column F calculates the % of Sq Ft of the total FOR THAT LOCATION ONLY. The locations should not co-mingle.
Column G takes Column F and multiplies by the total amount of Sq Ft costs allocated on the Cost By Allocation Base tab, by location. Each location total should match the amount allocated to that location in the Cost by Allocation Base tab.
Cell F29 should tie back to the Cost by Allocation Base total for Square Footage and cell G28 needs to match it - as well as the total of cells I28 through L28.
The % of costs calculated on the Cost by Allocation Base tab should be entered under the appropriate column I-L and those columns should multiply the cell in column G to that %.</t>
  </si>
  <si>
    <t>Columns A, B, C, and D should link back to the "Office Sharing Payment Ratio" tab. The colors should coordinate with that tab as well.
Column E takes Column B and multiplies it by the Payment Ratio on the Office Sharing Payment Ratio tab. This calculates the % of FTE that partner will be billed for. 
Column F calculates the % of FTE of the total FOR THAT LOCATION ONLY. The locations should not co-mingle.
Column G takes Column F and multiplies by the total amount of FTE costs allocated on the Cost By Allocation Base tab, by location. Each location total should match the amount allocated to that location.
Cell E27 should tie back to the Cost by Allocation Base total for FTE and cell F26 needs to match it - as well as the total of cells H26 through K26.
The % of costs calculated on the Cost by Allocation Base tab should be entered under the appropriate column H-K and those columns should multiply the cell in column F to that %.</t>
  </si>
  <si>
    <t>This is a pivot table and should be refreshed everytime data on the AJC Comp Budget tab is updated. 
These amounts will be linked to the final two tabs to ensure all Shared Direct and Non-Shared Direct costs are reflected properly.</t>
  </si>
  <si>
    <t>Column A should link back to the Office Sharing Payment Ratio tab.
Columns B through H should link back to the appropriate allocation tab.
The totals on line 25 should match those on the Cost by Allocation Base tab.
The grand total should match that on the Cost by Allocation Base tab.</t>
  </si>
  <si>
    <t>Sum of Cost</t>
  </si>
  <si>
    <t>Cost Category</t>
  </si>
  <si>
    <t>Cost Pool</t>
  </si>
  <si>
    <t>Cost Item</t>
  </si>
  <si>
    <t>Column A should link back to the Office Sharing Payment Ratio tab.
Columns B through H should total the allocation base from all tabs reflecting that allocation category (i.e. the infrastructure costs should be the total of Infrastructure on the Square Footage tab and the FTE tab).
The grand total should match that on the Cost by Allocation Base tab.
The Pivot below should be refreshed anytime the County AJC Comp. Budget  tab is updated. 
This tab will be attached to the IFA signature pages that will be distributed to partners for approval.</t>
  </si>
  <si>
    <t xml:space="preserve">Cost Allocation and Partner Contributions </t>
  </si>
  <si>
    <t>American Job Center</t>
  </si>
  <si>
    <t>Additional Costs Total</t>
  </si>
  <si>
    <t>Infrastructure Costs Total</t>
  </si>
  <si>
    <t>Non-Shared Direct Total</t>
  </si>
  <si>
    <t>Shared Direct Total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</si>
</sst>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 numFmtId="165" formatCode="0.0"/>
    <numFmt numFmtId="166" formatCode="\$\ 0"/>
    <numFmt numFmtId="167" formatCode="\$\ #,##0.00"/>
    <numFmt numFmtId="168" formatCode="\$\ 0.00"/>
    <numFmt numFmtId="169" formatCode="_(&quot;$&quot;* #,##0_);_(&quot;$&quot;* \(#,##0\);_(&quot;$&quot;* &quot;-&quot;??_);_(@_)"/>
    <numFmt numFmtId="170" formatCode="&quot;$&quot;#,##0.00"/>
    <numFmt numFmtId="171" formatCode="0.0%"/>
    <numFmt numFmtId="172" formatCode="0.000%"/>
  </numFmts>
  <fonts count="83">
    <font>
      <sz val="11"/>
      <color theme="1"/>
      <name val="Calibri"/>
      <family val="2"/>
    </font>
    <font>
      <sz val="11"/>
      <color indexed="8"/>
      <name val="Calibri"/>
      <family val="2"/>
    </font>
    <font>
      <sz val="20"/>
      <name val="Arial Narrow"/>
      <family val="2"/>
    </font>
    <font>
      <b/>
      <sz val="11"/>
      <name val="Arial Narrow"/>
      <family val="2"/>
    </font>
    <font>
      <sz val="11"/>
      <name val="Arial Narrow"/>
      <family val="2"/>
    </font>
    <font>
      <b/>
      <sz val="16"/>
      <name val="Arial Narrow"/>
      <family val="2"/>
    </font>
    <font>
      <b/>
      <sz val="16"/>
      <color indexed="9"/>
      <name val="Arial Narrow"/>
      <family val="2"/>
    </font>
    <font>
      <vertAlign val="superscript"/>
      <sz val="18"/>
      <color indexed="8"/>
      <name val="Calibri"/>
      <family val="2"/>
    </font>
    <font>
      <vertAlign val="superscript"/>
      <sz val="11"/>
      <color indexed="8"/>
      <name val="Calibri"/>
      <family val="2"/>
    </font>
    <font>
      <vertAlign val="superscript"/>
      <sz val="20"/>
      <color indexed="8"/>
      <name val="Calibri"/>
      <family val="2"/>
    </font>
    <font>
      <vertAlign val="superscript"/>
      <sz val="20"/>
      <color indexed="9"/>
      <name val="Calibri"/>
      <family val="2"/>
    </font>
    <font>
      <sz val="11"/>
      <name val="Calibri"/>
      <family val="2"/>
    </font>
    <font>
      <sz val="11"/>
      <color indexed="60"/>
      <name val="Calibri"/>
      <family val="2"/>
    </font>
    <font>
      <i/>
      <sz val="11"/>
      <name val="Calibri"/>
      <family val="2"/>
    </font>
    <font>
      <b/>
      <sz val="10"/>
      <color indexed="9"/>
      <name val="Calibri"/>
      <family val="2"/>
    </font>
    <font>
      <sz val="10"/>
      <name val="Times New Roman"/>
      <family val="1"/>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Narrow"/>
      <family val="2"/>
    </font>
    <font>
      <sz val="18"/>
      <color indexed="8"/>
      <name val="Calibri"/>
      <family val="2"/>
    </font>
    <font>
      <sz val="11"/>
      <color indexed="8"/>
      <name val="Arial Narrow"/>
      <family val="2"/>
    </font>
    <font>
      <sz val="20"/>
      <color indexed="8"/>
      <name val="Calibri"/>
      <family val="2"/>
    </font>
    <font>
      <b/>
      <sz val="10"/>
      <color indexed="8"/>
      <name val="Times New Roman"/>
      <family val="1"/>
    </font>
    <font>
      <sz val="10"/>
      <color indexed="8"/>
      <name val="Calibri"/>
      <family val="2"/>
    </font>
    <font>
      <b/>
      <sz val="10"/>
      <name val="Calibri"/>
      <family val="2"/>
    </font>
    <font>
      <b/>
      <sz val="14"/>
      <name val="Calibri"/>
      <family val="2"/>
    </font>
    <font>
      <b/>
      <sz val="14"/>
      <color indexed="8"/>
      <name val="Calibri"/>
      <family val="2"/>
    </font>
    <font>
      <sz val="14"/>
      <color indexed="8"/>
      <name val="Calibri"/>
      <family val="2"/>
    </font>
    <font>
      <sz val="11"/>
      <color indexed="8"/>
      <name val="Times New Roman"/>
      <family val="1"/>
    </font>
    <font>
      <b/>
      <sz val="11"/>
      <name val="Calibri"/>
      <family val="2"/>
    </font>
    <font>
      <b/>
      <sz val="10"/>
      <color indexed="8"/>
      <name val="Calibri"/>
      <family val="2"/>
    </font>
    <font>
      <sz val="22"/>
      <color indexed="9"/>
      <name val="Calibri"/>
      <family val="2"/>
    </font>
    <font>
      <sz val="20"/>
      <color indexed="9"/>
      <name val="Calibri"/>
      <family val="2"/>
    </font>
    <font>
      <sz val="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Arial Narrow"/>
      <family val="2"/>
    </font>
    <font>
      <sz val="18"/>
      <color theme="1"/>
      <name val="Calibri"/>
      <family val="2"/>
    </font>
    <font>
      <sz val="11"/>
      <color rgb="FF000000"/>
      <name val="Arial Narrow"/>
      <family val="2"/>
    </font>
    <font>
      <sz val="20"/>
      <color theme="1"/>
      <name val="Calibri"/>
      <family val="2"/>
    </font>
    <font>
      <b/>
      <sz val="10"/>
      <color rgb="FF000000"/>
      <name val="Times New Roman"/>
      <family val="1"/>
    </font>
    <font>
      <sz val="11"/>
      <color rgb="FF000000"/>
      <name val="Calibri"/>
      <family val="2"/>
    </font>
    <font>
      <sz val="10"/>
      <color theme="1"/>
      <name val="Calibri"/>
      <family val="2"/>
    </font>
    <font>
      <b/>
      <sz val="10"/>
      <color theme="0"/>
      <name val="Calibri"/>
      <family val="2"/>
    </font>
    <font>
      <sz val="10"/>
      <color rgb="FF000000"/>
      <name val="Calibri"/>
      <family val="2"/>
    </font>
    <font>
      <b/>
      <sz val="14"/>
      <color rgb="FF000000"/>
      <name val="Calibri"/>
      <family val="2"/>
    </font>
    <font>
      <sz val="14"/>
      <color rgb="FF000000"/>
      <name val="Calibri"/>
      <family val="2"/>
    </font>
    <font>
      <sz val="14"/>
      <color theme="1"/>
      <name val="Calibri"/>
      <family val="2"/>
    </font>
    <font>
      <sz val="11"/>
      <color rgb="FF000000"/>
      <name val="Times New Roman"/>
      <family val="1"/>
    </font>
    <font>
      <b/>
      <sz val="11"/>
      <color theme="1"/>
      <name val="Arial Narrow"/>
      <family val="2"/>
    </font>
    <font>
      <b/>
      <sz val="10"/>
      <color theme="1"/>
      <name val="Calibri"/>
      <family val="2"/>
    </font>
    <font>
      <sz val="22"/>
      <color theme="0"/>
      <name val="Calibri"/>
      <family val="2"/>
    </font>
    <font>
      <sz val="20"/>
      <color theme="0"/>
      <name val="Calibri"/>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5D5"/>
        <bgColor indexed="64"/>
      </patternFill>
    </fill>
    <fill>
      <patternFill patternType="solid">
        <fgColor rgb="FFFFFF99"/>
        <bgColor indexed="64"/>
      </patternFill>
    </fill>
    <fill>
      <patternFill patternType="solid">
        <fgColor rgb="FFD9E1F2"/>
        <bgColor indexed="64"/>
      </patternFill>
    </fill>
    <fill>
      <patternFill patternType="solid">
        <fgColor rgb="FFE2EFDA"/>
        <bgColor indexed="64"/>
      </patternFill>
    </fill>
    <fill>
      <patternFill patternType="solid">
        <fgColor rgb="FFDADADA"/>
        <bgColor indexed="64"/>
      </patternFill>
    </fill>
    <fill>
      <patternFill patternType="solid">
        <fgColor rgb="FFEDEDED"/>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0000"/>
        <bgColor indexed="64"/>
      </patternFill>
    </fill>
    <fill>
      <patternFill patternType="solid">
        <fgColor theme="1" tint="0.34999001026153564"/>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FF00FF"/>
        <bgColor indexed="64"/>
      </patternFill>
    </fill>
    <fill>
      <patternFill patternType="solid">
        <fgColor rgb="FFFFDD71"/>
        <bgColor indexed="64"/>
      </patternFill>
    </fill>
    <fill>
      <patternFill patternType="solid">
        <fgColor rgb="FFCC9900"/>
        <bgColor indexed="64"/>
      </patternFill>
    </fill>
    <fill>
      <patternFill patternType="solid">
        <fgColor theme="0" tint="-0.24997000396251678"/>
        <bgColor indexed="64"/>
      </patternFill>
    </fill>
    <fill>
      <patternFill patternType="solid">
        <fgColor rgb="FF9900CC"/>
        <bgColor indexed="64"/>
      </patternFill>
    </fill>
    <fill>
      <patternFill patternType="solid">
        <fgColor rgb="FFE4C9FF"/>
        <bgColor indexed="64"/>
      </patternFill>
    </fill>
    <fill>
      <patternFill patternType="solid">
        <fgColor rgb="FFCC66FF"/>
        <bgColor indexed="64"/>
      </patternFill>
    </fill>
    <fill>
      <patternFill patternType="solid">
        <fgColor rgb="FFFFFFAB"/>
        <bgColor indexed="64"/>
      </patternFill>
    </fill>
    <fill>
      <patternFill patternType="solid">
        <fgColor rgb="FFFFFFE5"/>
        <bgColor indexed="64"/>
      </patternFill>
    </fill>
    <fill>
      <patternFill patternType="solid">
        <fgColor rgb="FFB4C6E7"/>
        <bgColor indexed="64"/>
      </patternFill>
    </fill>
    <fill>
      <patternFill patternType="solid">
        <fgColor rgb="FF00B050"/>
        <bgColor indexed="64"/>
      </patternFill>
    </fill>
    <fill>
      <patternFill patternType="solid">
        <fgColor rgb="FFC6E0B4"/>
        <bgColor indexed="64"/>
      </patternFill>
    </fill>
    <fill>
      <patternFill patternType="solid">
        <fgColor theme="9" tint="-0.24997000396251678"/>
        <bgColor indexed="64"/>
      </patternFill>
    </fill>
    <fill>
      <patternFill patternType="solid">
        <fgColor theme="0" tint="-0.3499799966812134"/>
        <bgColor indexed="64"/>
      </patternFill>
    </fill>
    <fill>
      <patternFill patternType="solid">
        <fgColor rgb="FF00FFFF"/>
        <bgColor indexed="64"/>
      </patternFill>
    </fill>
    <fill>
      <patternFill patternType="solid">
        <fgColor rgb="FF00FF00"/>
        <bgColor indexed="64"/>
      </patternFill>
    </fill>
    <fill>
      <patternFill patternType="solid">
        <fgColor rgb="FF81818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818181"/>
      </left>
      <right/>
      <top style="thin">
        <color rgb="FF818181"/>
      </top>
      <bottom style="thin">
        <color rgb="FF818181"/>
      </bottom>
    </border>
    <border>
      <left style="thin">
        <color rgb="FF818181"/>
      </left>
      <right style="thin">
        <color rgb="FF818181"/>
      </right>
      <top style="thin">
        <color rgb="FFFFFFFF"/>
      </top>
      <bottom/>
    </border>
    <border>
      <left style="thin">
        <color rgb="FF818181"/>
      </left>
      <right style="thin">
        <color rgb="FF818181"/>
      </right>
      <top/>
      <bottom/>
    </border>
    <border>
      <left style="thin">
        <color rgb="FF818181"/>
      </left>
      <right style="thin">
        <color rgb="FF818181"/>
      </right>
      <top/>
      <bottom style="thin">
        <color rgb="FF818181"/>
      </bottom>
    </border>
    <border>
      <left/>
      <right style="thin">
        <color rgb="FF818181"/>
      </right>
      <top style="thin">
        <color rgb="FFFFFFFF"/>
      </top>
      <bottom/>
    </border>
    <border>
      <left/>
      <right style="thin">
        <color rgb="FF818181"/>
      </right>
      <top/>
      <bottom/>
    </border>
    <border>
      <left style="thin">
        <color rgb="FF818181"/>
      </left>
      <right/>
      <top/>
      <bottom style="thin">
        <color rgb="FF818181"/>
      </bottom>
    </border>
    <border>
      <left/>
      <right style="thin">
        <color rgb="FF818181"/>
      </right>
      <top/>
      <bottom style="thin">
        <color rgb="FF818181"/>
      </bottom>
    </border>
    <border>
      <left/>
      <right/>
      <top style="thin">
        <color rgb="FFFFFFFF"/>
      </top>
      <bottom/>
    </border>
    <border>
      <left style="thin">
        <color rgb="FF818181"/>
      </left>
      <right/>
      <top style="thin">
        <color rgb="FFFFFFFF"/>
      </top>
      <bottom style="thin">
        <color rgb="FF818181"/>
      </bottom>
    </border>
    <border>
      <left/>
      <right/>
      <top style="thin">
        <color rgb="FFFFFFFF"/>
      </top>
      <bottom style="thin">
        <color rgb="FF818181"/>
      </bottom>
    </border>
    <border>
      <left/>
      <right/>
      <top style="thin">
        <color rgb="FF818181"/>
      </top>
      <bottom style="thin">
        <color rgb="FF818181"/>
      </bottom>
    </border>
    <border>
      <left style="thin">
        <color rgb="FF818181"/>
      </left>
      <right style="thin">
        <color rgb="FF818181"/>
      </right>
      <top style="thin">
        <color rgb="FF818181"/>
      </top>
      <bottom style="thin">
        <color rgb="FF818181"/>
      </bottom>
    </border>
    <border>
      <left/>
      <right/>
      <top style="thin">
        <color theme="4" tint="0.39998000860214233"/>
      </top>
      <bottom/>
    </border>
    <border>
      <left style="thin">
        <color rgb="FF818181"/>
      </left>
      <right/>
      <top style="thin">
        <color rgb="FFFFFFFF"/>
      </top>
      <bottom/>
    </border>
    <border>
      <left style="thin">
        <color rgb="FF818181"/>
      </left>
      <right/>
      <top style="thin">
        <color theme="4" tint="0.39998000860214233"/>
      </top>
      <bottom style="thin">
        <color theme="4" tint="0.39998000860214233"/>
      </bottom>
    </border>
    <border>
      <left style="thin">
        <color rgb="FF818181"/>
      </left>
      <right/>
      <top/>
      <bottom/>
    </border>
    <border>
      <left/>
      <right style="thin">
        <color rgb="FF818181"/>
      </right>
      <top style="thin">
        <color rgb="FF818181"/>
      </top>
      <bottom style="thin">
        <color rgb="FF818181"/>
      </bottom>
    </border>
    <border>
      <left/>
      <right/>
      <top style="thin">
        <color rgb="FF818181"/>
      </top>
      <bottom/>
    </border>
    <border>
      <left>
        <color indexed="63"/>
      </left>
      <right>
        <color indexed="63"/>
      </right>
      <top style="thin">
        <color theme="7" tint="0.7999799847602844"/>
      </top>
      <bottom style="thin">
        <color theme="7" tint="0.7999799847602844"/>
      </bottom>
    </border>
    <border>
      <left/>
      <right style="thin">
        <color theme="4" tint="0.39998000860214233"/>
      </right>
      <top style="thin">
        <color theme="4" tint="0.39998000860214233"/>
      </top>
      <bottom style="thin">
        <color theme="4" tint="0.39998000860214233"/>
      </bottom>
    </border>
    <border>
      <left/>
      <right/>
      <top/>
      <bottom style="thin">
        <color rgb="FF818181"/>
      </bottom>
    </border>
    <border>
      <left style="thin">
        <color rgb="FF818181"/>
      </left>
      <right style="thin">
        <color rgb="FF818181"/>
      </right>
      <top style="thin">
        <color rgb="FF818181"/>
      </top>
      <bottom/>
    </border>
    <border>
      <left style="thin">
        <color rgb="FF818181"/>
      </left>
      <right/>
      <top style="thin">
        <color rgb="FF818181"/>
      </top>
      <bottom/>
    </border>
    <border>
      <left/>
      <right/>
      <top/>
      <bottom style="thin">
        <color rgb="FFFFFF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23">
    <xf numFmtId="0" fontId="0" fillId="0" borderId="0" xfId="0" applyFont="1" applyAlignment="1">
      <alignment/>
    </xf>
    <xf numFmtId="0" fontId="3" fillId="0" borderId="10" xfId="55" applyFont="1" applyFill="1" applyBorder="1" applyAlignment="1">
      <alignment vertical="top" wrapText="1"/>
      <protection/>
    </xf>
    <xf numFmtId="164" fontId="66" fillId="0" borderId="10" xfId="55" applyNumberFormat="1" applyFont="1" applyFill="1" applyBorder="1" applyAlignment="1">
      <alignment vertical="top" wrapText="1"/>
      <protection/>
    </xf>
    <xf numFmtId="0" fontId="61" fillId="0" borderId="0" xfId="55" applyFill="1" applyBorder="1" applyAlignment="1">
      <alignment vertical="top" wrapText="1"/>
      <protection/>
    </xf>
    <xf numFmtId="0" fontId="5" fillId="0" borderId="0" xfId="55" applyFont="1" applyFill="1" applyBorder="1" applyAlignment="1">
      <alignment vertical="top" wrapText="1"/>
      <protection/>
    </xf>
    <xf numFmtId="0" fontId="61" fillId="0" borderId="10" xfId="55" applyFill="1" applyBorder="1" applyAlignment="1">
      <alignment vertical="top" wrapText="1"/>
      <protection/>
    </xf>
    <xf numFmtId="0" fontId="67" fillId="0" borderId="0" xfId="0" applyFont="1" applyAlignment="1">
      <alignment/>
    </xf>
    <xf numFmtId="0" fontId="61" fillId="27" borderId="11" xfId="55" applyFill="1" applyBorder="1" applyAlignment="1">
      <alignment vertical="top" wrapText="1"/>
      <protection/>
    </xf>
    <xf numFmtId="0" fontId="61" fillId="27" borderId="12" xfId="55" applyFill="1" applyBorder="1" applyAlignment="1">
      <alignment vertical="top" wrapText="1"/>
      <protection/>
    </xf>
    <xf numFmtId="0" fontId="3" fillId="33" borderId="10" xfId="55" applyFont="1" applyFill="1" applyBorder="1" applyAlignment="1">
      <alignment vertical="top" wrapText="1"/>
      <protection/>
    </xf>
    <xf numFmtId="164" fontId="68" fillId="0" borderId="10" xfId="55" applyNumberFormat="1" applyFont="1" applyFill="1" applyBorder="1" applyAlignment="1">
      <alignment vertical="top" wrapText="1"/>
      <protection/>
    </xf>
    <xf numFmtId="3" fontId="66" fillId="0" borderId="10" xfId="55" applyNumberFormat="1" applyFont="1" applyFill="1" applyBorder="1" applyAlignment="1">
      <alignment vertical="top" wrapText="1"/>
      <protection/>
    </xf>
    <xf numFmtId="0" fontId="61" fillId="27" borderId="13" xfId="55" applyFill="1" applyBorder="1" applyAlignment="1">
      <alignment vertical="top" wrapText="1"/>
      <protection/>
    </xf>
    <xf numFmtId="0" fontId="69" fillId="0" borderId="0" xfId="0" applyFont="1" applyAlignment="1">
      <alignment/>
    </xf>
    <xf numFmtId="0" fontId="61" fillId="27" borderId="14" xfId="55" applyFill="1" applyBorder="1" applyAlignment="1">
      <alignment vertical="top" wrapText="1"/>
      <protection/>
    </xf>
    <xf numFmtId="0" fontId="61" fillId="27" borderId="15" xfId="55" applyFill="1" applyBorder="1" applyAlignment="1">
      <alignment vertical="top" wrapText="1"/>
      <protection/>
    </xf>
    <xf numFmtId="1" fontId="66" fillId="0" borderId="10" xfId="55" applyNumberFormat="1" applyFont="1" applyFill="1" applyBorder="1" applyAlignment="1">
      <alignment vertical="top" wrapText="1"/>
      <protection/>
    </xf>
    <xf numFmtId="0" fontId="61" fillId="27" borderId="16" xfId="55" applyFill="1" applyBorder="1" applyAlignment="1">
      <alignment vertical="top" wrapText="1"/>
      <protection/>
    </xf>
    <xf numFmtId="0" fontId="61" fillId="27" borderId="17" xfId="55" applyFill="1" applyBorder="1" applyAlignment="1">
      <alignment vertical="top" wrapText="1"/>
      <protection/>
    </xf>
    <xf numFmtId="0" fontId="61" fillId="27" borderId="18" xfId="55" applyFill="1" applyBorder="1" applyAlignment="1">
      <alignment vertical="center" wrapText="1"/>
      <protection/>
    </xf>
    <xf numFmtId="0" fontId="61" fillId="27" borderId="0" xfId="55" applyFill="1" applyBorder="1" applyAlignment="1">
      <alignment vertical="center" wrapText="1"/>
      <protection/>
    </xf>
    <xf numFmtId="167" fontId="68" fillId="0" borderId="10" xfId="55" applyNumberFormat="1" applyFont="1" applyFill="1" applyBorder="1" applyAlignment="1">
      <alignment vertical="top" wrapText="1"/>
      <protection/>
    </xf>
    <xf numFmtId="0" fontId="0" fillId="34" borderId="0" xfId="0" applyFill="1" applyAlignment="1">
      <alignment/>
    </xf>
    <xf numFmtId="0" fontId="3" fillId="35" borderId="19" xfId="55" applyFont="1" applyFill="1" applyBorder="1" applyAlignment="1">
      <alignment vertical="top" wrapText="1"/>
      <protection/>
    </xf>
    <xf numFmtId="0" fontId="3" fillId="35" borderId="20" xfId="55" applyFont="1" applyFill="1" applyBorder="1" applyAlignment="1">
      <alignment vertical="top" wrapText="1"/>
      <protection/>
    </xf>
    <xf numFmtId="0" fontId="3" fillId="35" borderId="10" xfId="55" applyFont="1" applyFill="1" applyBorder="1" applyAlignment="1">
      <alignment vertical="top" wrapText="1"/>
      <protection/>
    </xf>
    <xf numFmtId="165" fontId="66" fillId="0" borderId="10" xfId="55" applyNumberFormat="1" applyFont="1" applyFill="1" applyBorder="1" applyAlignment="1">
      <alignment vertical="top" wrapText="1"/>
      <protection/>
    </xf>
    <xf numFmtId="44" fontId="66" fillId="0" borderId="21" xfId="44" applyFont="1" applyFill="1" applyBorder="1" applyAlignment="1">
      <alignment vertical="top" wrapText="1"/>
    </xf>
    <xf numFmtId="0" fontId="3" fillId="36" borderId="10" xfId="55" applyFont="1" applyFill="1" applyBorder="1" applyAlignment="1">
      <alignment vertical="top" wrapText="1"/>
      <protection/>
    </xf>
    <xf numFmtId="9" fontId="66" fillId="0" borderId="10" xfId="55" applyNumberFormat="1" applyFont="1" applyFill="1" applyBorder="1" applyAlignment="1">
      <alignment vertical="top" wrapText="1"/>
      <protection/>
    </xf>
    <xf numFmtId="0" fontId="3" fillId="37" borderId="10" xfId="55" applyFont="1" applyFill="1" applyBorder="1" applyAlignment="1">
      <alignment vertical="top" wrapText="1"/>
      <protection/>
    </xf>
    <xf numFmtId="44" fontId="66" fillId="0" borderId="10" xfId="44" applyFont="1" applyFill="1" applyBorder="1" applyAlignment="1">
      <alignment vertical="top" wrapText="1"/>
    </xf>
    <xf numFmtId="9" fontId="61" fillId="0" borderId="10" xfId="58" applyFont="1" applyFill="1" applyBorder="1" applyAlignment="1">
      <alignment vertical="top" wrapText="1"/>
    </xf>
    <xf numFmtId="44" fontId="70" fillId="0" borderId="10" xfId="44" applyFont="1" applyFill="1" applyBorder="1" applyAlignment="1">
      <alignment vertical="top" wrapText="1"/>
    </xf>
    <xf numFmtId="37" fontId="70" fillId="0" borderId="10" xfId="44" applyNumberFormat="1" applyFont="1" applyFill="1" applyBorder="1" applyAlignment="1">
      <alignment vertical="top" wrapText="1"/>
    </xf>
    <xf numFmtId="10" fontId="61" fillId="0" borderId="10" xfId="55" applyNumberFormat="1" applyFill="1" applyBorder="1" applyAlignment="1">
      <alignment vertical="top" wrapText="1"/>
      <protection/>
    </xf>
    <xf numFmtId="165" fontId="61" fillId="0" borderId="10" xfId="55" applyNumberFormat="1" applyFill="1" applyBorder="1" applyAlignment="1">
      <alignment vertical="top" wrapText="1"/>
      <protection/>
    </xf>
    <xf numFmtId="44" fontId="0" fillId="0" borderId="0" xfId="44" applyFont="1" applyAlignment="1">
      <alignment/>
    </xf>
    <xf numFmtId="169" fontId="0" fillId="0" borderId="0" xfId="44" applyNumberFormat="1" applyFont="1" applyAlignment="1">
      <alignment/>
    </xf>
    <xf numFmtId="6" fontId="0" fillId="0" borderId="0" xfId="0" applyNumberFormat="1" applyAlignment="1">
      <alignment/>
    </xf>
    <xf numFmtId="44" fontId="0" fillId="0" borderId="0" xfId="0" applyNumberFormat="1" applyAlignment="1">
      <alignment/>
    </xf>
    <xf numFmtId="9" fontId="0" fillId="0" borderId="0" xfId="58" applyFont="1" applyAlignment="1">
      <alignment/>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22" xfId="0" applyBorder="1" applyAlignment="1">
      <alignment/>
    </xf>
    <xf numFmtId="0" fontId="0" fillId="0" borderId="0" xfId="0" applyFont="1" applyAlignment="1">
      <alignment/>
    </xf>
    <xf numFmtId="0" fontId="11" fillId="38" borderId="10" xfId="55" applyFont="1" applyFill="1" applyBorder="1" applyAlignment="1">
      <alignment vertical="top" wrapText="1"/>
      <protection/>
    </xf>
    <xf numFmtId="0" fontId="11" fillId="0" borderId="10" xfId="55" applyFont="1" applyFill="1" applyBorder="1" applyAlignment="1">
      <alignment vertical="top" wrapText="1"/>
      <protection/>
    </xf>
    <xf numFmtId="0" fontId="71" fillId="0" borderId="10" xfId="55" applyFont="1" applyFill="1" applyBorder="1" applyAlignment="1">
      <alignment vertical="top" wrapText="1"/>
      <protection/>
    </xf>
    <xf numFmtId="0" fontId="72" fillId="0" borderId="0" xfId="0" applyFont="1" applyFill="1" applyAlignment="1">
      <alignment/>
    </xf>
    <xf numFmtId="0" fontId="73" fillId="0" borderId="23" xfId="0" applyFont="1" applyFill="1" applyBorder="1" applyAlignment="1">
      <alignment/>
    </xf>
    <xf numFmtId="0" fontId="39" fillId="0" borderId="24" xfId="55" applyNumberFormat="1" applyFont="1" applyFill="1" applyBorder="1" applyAlignment="1">
      <alignment horizontal="left" vertical="top" wrapText="1" indent="2"/>
      <protection/>
    </xf>
    <xf numFmtId="0" fontId="39" fillId="0" borderId="24" xfId="55" applyNumberFormat="1" applyFont="1" applyFill="1" applyBorder="1" applyAlignment="1">
      <alignment horizontal="center" vertical="top" wrapText="1"/>
      <protection/>
    </xf>
    <xf numFmtId="0" fontId="39" fillId="0" borderId="24" xfId="55" applyNumberFormat="1" applyFont="1" applyFill="1" applyBorder="1" applyAlignment="1">
      <alignment horizontal="left" vertical="top" wrapText="1" indent="5"/>
      <protection/>
    </xf>
    <xf numFmtId="44" fontId="39" fillId="0" borderId="24" xfId="44" applyFont="1" applyFill="1" applyBorder="1" applyAlignment="1">
      <alignment horizontal="center" vertical="top" wrapText="1"/>
    </xf>
    <xf numFmtId="0" fontId="72" fillId="0" borderId="0" xfId="0" applyFont="1" applyFill="1" applyBorder="1" applyAlignment="1">
      <alignment/>
    </xf>
    <xf numFmtId="0" fontId="16" fillId="0" borderId="0" xfId="55" applyNumberFormat="1" applyFont="1" applyFill="1" applyBorder="1" applyAlignment="1">
      <alignment horizontal="left" vertical="top" wrapText="1"/>
      <protection/>
    </xf>
    <xf numFmtId="44" fontId="74" fillId="0" borderId="0" xfId="44" applyFont="1" applyFill="1" applyBorder="1" applyAlignment="1">
      <alignment vertical="top" wrapText="1"/>
    </xf>
    <xf numFmtId="44" fontId="72" fillId="0" borderId="0" xfId="44" applyFont="1" applyFill="1" applyAlignment="1">
      <alignment/>
    </xf>
    <xf numFmtId="10" fontId="0" fillId="0" borderId="0" xfId="58" applyNumberFormat="1" applyFont="1" applyAlignment="1">
      <alignment horizontal="left"/>
    </xf>
    <xf numFmtId="10" fontId="0" fillId="0" borderId="0" xfId="58" applyNumberFormat="1" applyFont="1" applyAlignment="1">
      <alignment horizontal="right"/>
    </xf>
    <xf numFmtId="0" fontId="0" fillId="39" borderId="0" xfId="0" applyFont="1" applyFill="1" applyAlignment="1">
      <alignment wrapText="1"/>
    </xf>
    <xf numFmtId="0" fontId="40" fillId="0" borderId="10" xfId="55" applyFont="1" applyFill="1" applyBorder="1" applyAlignment="1">
      <alignment vertical="top" wrapText="1"/>
      <protection/>
    </xf>
    <xf numFmtId="1" fontId="75" fillId="0" borderId="10" xfId="55" applyNumberFormat="1" applyFont="1" applyFill="1" applyBorder="1" applyAlignment="1">
      <alignment vertical="top" wrapText="1"/>
      <protection/>
    </xf>
    <xf numFmtId="0" fontId="76" fillId="0" borderId="10" xfId="55" applyFont="1" applyFill="1" applyBorder="1" applyAlignment="1">
      <alignment vertical="top" wrapText="1"/>
      <protection/>
    </xf>
    <xf numFmtId="0" fontId="76" fillId="0" borderId="10" xfId="55" applyFont="1" applyFill="1" applyBorder="1" applyAlignment="1">
      <alignment horizontal="center" vertical="top" wrapText="1"/>
      <protection/>
    </xf>
    <xf numFmtId="0" fontId="77" fillId="0" borderId="0" xfId="0" applyFont="1" applyAlignment="1">
      <alignment/>
    </xf>
    <xf numFmtId="0" fontId="0" fillId="0" borderId="0" xfId="0" applyFill="1" applyAlignment="1">
      <alignment/>
    </xf>
    <xf numFmtId="165" fontId="0" fillId="0" borderId="0" xfId="0" applyNumberFormat="1" applyAlignment="1">
      <alignment/>
    </xf>
    <xf numFmtId="0" fontId="11" fillId="0" borderId="0" xfId="0" applyFont="1" applyFill="1" applyAlignment="1">
      <alignment/>
    </xf>
    <xf numFmtId="0" fontId="16" fillId="0" borderId="25" xfId="55" applyFont="1" applyFill="1" applyBorder="1" applyAlignment="1">
      <alignment horizontal="left" vertical="top" wrapText="1"/>
      <protection/>
    </xf>
    <xf numFmtId="0" fontId="72" fillId="0" borderId="23" xfId="0" applyFont="1" applyFill="1" applyBorder="1" applyAlignment="1">
      <alignment/>
    </xf>
    <xf numFmtId="0" fontId="16" fillId="0" borderId="23" xfId="55" applyNumberFormat="1" applyFont="1" applyFill="1" applyBorder="1" applyAlignment="1">
      <alignment horizontal="left" vertical="top" wrapText="1"/>
      <protection/>
    </xf>
    <xf numFmtId="44" fontId="74" fillId="0" borderId="23" xfId="44" applyFont="1" applyFill="1" applyBorder="1" applyAlignment="1">
      <alignment vertical="top" wrapText="1"/>
    </xf>
    <xf numFmtId="0" fontId="12" fillId="38" borderId="10" xfId="55" applyFont="1" applyFill="1" applyBorder="1" applyAlignment="1">
      <alignment vertical="top" wrapText="1"/>
      <protection/>
    </xf>
    <xf numFmtId="0" fontId="0" fillId="0" borderId="0" xfId="0" applyFont="1" applyAlignment="1">
      <alignment horizontal="center"/>
    </xf>
    <xf numFmtId="0" fontId="16" fillId="40" borderId="10" xfId="55" applyFont="1" applyFill="1" applyBorder="1" applyAlignment="1">
      <alignment vertical="top" wrapText="1"/>
      <protection/>
    </xf>
    <xf numFmtId="1" fontId="16" fillId="40" borderId="10" xfId="55" applyNumberFormat="1" applyFont="1" applyFill="1" applyBorder="1" applyAlignment="1">
      <alignment vertical="top" wrapText="1"/>
      <protection/>
    </xf>
    <xf numFmtId="165" fontId="16" fillId="40" borderId="10" xfId="55" applyNumberFormat="1" applyFont="1" applyFill="1" applyBorder="1" applyAlignment="1">
      <alignment vertical="top" wrapText="1"/>
      <protection/>
    </xf>
    <xf numFmtId="9" fontId="16" fillId="40" borderId="10" xfId="58" applyFont="1" applyFill="1" applyBorder="1" applyAlignment="1">
      <alignment vertical="top" wrapText="1"/>
    </xf>
    <xf numFmtId="1" fontId="16" fillId="40" borderId="10" xfId="55" applyNumberFormat="1" applyFont="1" applyFill="1" applyBorder="1" applyAlignment="1">
      <alignment horizontal="center" vertical="top" wrapText="1"/>
      <protection/>
    </xf>
    <xf numFmtId="0" fontId="72" fillId="40" borderId="0" xfId="0" applyFont="1" applyFill="1" applyAlignment="1">
      <alignment/>
    </xf>
    <xf numFmtId="0" fontId="16" fillId="16" borderId="10" xfId="55" applyFont="1" applyFill="1" applyBorder="1" applyAlignment="1">
      <alignment vertical="top" wrapText="1"/>
      <protection/>
    </xf>
    <xf numFmtId="1" fontId="16" fillId="16" borderId="10" xfId="55" applyNumberFormat="1" applyFont="1" applyFill="1" applyBorder="1" applyAlignment="1">
      <alignment vertical="top" wrapText="1"/>
      <protection/>
    </xf>
    <xf numFmtId="165" fontId="16" fillId="16" borderId="10" xfId="55" applyNumberFormat="1" applyFont="1" applyFill="1" applyBorder="1" applyAlignment="1">
      <alignment vertical="top" wrapText="1"/>
      <protection/>
    </xf>
    <xf numFmtId="9" fontId="16" fillId="16" borderId="10" xfId="58" applyFont="1" applyFill="1" applyBorder="1" applyAlignment="1">
      <alignment vertical="top" wrapText="1"/>
    </xf>
    <xf numFmtId="1" fontId="16" fillId="16" borderId="10" xfId="55" applyNumberFormat="1" applyFont="1" applyFill="1" applyBorder="1" applyAlignment="1">
      <alignment horizontal="center" vertical="top" wrapText="1"/>
      <protection/>
    </xf>
    <xf numFmtId="0" fontId="72" fillId="16" borderId="0" xfId="0" applyFont="1" applyFill="1" applyAlignment="1">
      <alignment/>
    </xf>
    <xf numFmtId="0" fontId="16" fillId="19" borderId="10" xfId="55" applyFont="1" applyFill="1" applyBorder="1" applyAlignment="1">
      <alignment vertical="top" wrapText="1"/>
      <protection/>
    </xf>
    <xf numFmtId="1" fontId="74" fillId="19" borderId="10" xfId="55" applyNumberFormat="1" applyFont="1" applyFill="1" applyBorder="1" applyAlignment="1">
      <alignment vertical="top" wrapText="1"/>
      <protection/>
    </xf>
    <xf numFmtId="165" fontId="16" fillId="19" borderId="10" xfId="55" applyNumberFormat="1" applyFont="1" applyFill="1" applyBorder="1" applyAlignment="1">
      <alignment vertical="top" wrapText="1"/>
      <protection/>
    </xf>
    <xf numFmtId="9" fontId="74" fillId="19" borderId="10" xfId="58" applyFont="1" applyFill="1" applyBorder="1" applyAlignment="1">
      <alignment vertical="top" wrapText="1"/>
    </xf>
    <xf numFmtId="1" fontId="74" fillId="19" borderId="10" xfId="55" applyNumberFormat="1" applyFont="1" applyFill="1" applyBorder="1" applyAlignment="1">
      <alignment horizontal="center" vertical="top" wrapText="1"/>
      <protection/>
    </xf>
    <xf numFmtId="0" fontId="72" fillId="19" borderId="0" xfId="0" applyFont="1" applyFill="1" applyAlignment="1">
      <alignment/>
    </xf>
    <xf numFmtId="0" fontId="16" fillId="18" borderId="10" xfId="55" applyFont="1" applyFill="1" applyBorder="1" applyAlignment="1">
      <alignment vertical="top" wrapText="1"/>
      <protection/>
    </xf>
    <xf numFmtId="0" fontId="72" fillId="18" borderId="0" xfId="0" applyFont="1" applyFill="1" applyAlignment="1">
      <alignment/>
    </xf>
    <xf numFmtId="0" fontId="16" fillId="9" borderId="10" xfId="55" applyFont="1" applyFill="1" applyBorder="1" applyAlignment="1">
      <alignment vertical="top" wrapText="1"/>
      <protection/>
    </xf>
    <xf numFmtId="1" fontId="4" fillId="9" borderId="10" xfId="55" applyNumberFormat="1" applyFont="1" applyFill="1" applyBorder="1" applyAlignment="1">
      <alignment vertical="top" wrapText="1"/>
      <protection/>
    </xf>
    <xf numFmtId="10" fontId="4" fillId="9" borderId="10" xfId="55" applyNumberFormat="1" applyFont="1" applyFill="1" applyBorder="1" applyAlignment="1">
      <alignment vertical="top" wrapText="1"/>
      <protection/>
    </xf>
    <xf numFmtId="164" fontId="68" fillId="9" borderId="10" xfId="55" applyNumberFormat="1" applyFont="1" applyFill="1" applyBorder="1" applyAlignment="1">
      <alignment vertical="top" wrapText="1"/>
      <protection/>
    </xf>
    <xf numFmtId="0" fontId="61" fillId="9" borderId="12" xfId="55" applyFill="1" applyBorder="1" applyAlignment="1">
      <alignment vertical="top" wrapText="1"/>
      <protection/>
    </xf>
    <xf numFmtId="44" fontId="0" fillId="9" borderId="22" xfId="44" applyFont="1" applyFill="1" applyBorder="1" applyAlignment="1">
      <alignment/>
    </xf>
    <xf numFmtId="0" fontId="61" fillId="9" borderId="12" xfId="55" applyFill="1" applyBorder="1" applyAlignment="1">
      <alignment horizontal="left" vertical="top" wrapText="1"/>
      <protection/>
    </xf>
    <xf numFmtId="165" fontId="4" fillId="9" borderId="10" xfId="55" applyNumberFormat="1" applyFont="1" applyFill="1" applyBorder="1" applyAlignment="1">
      <alignment vertical="top" wrapText="1"/>
      <protection/>
    </xf>
    <xf numFmtId="165" fontId="68" fillId="9" borderId="10" xfId="55" applyNumberFormat="1" applyFont="1" applyFill="1" applyBorder="1" applyAlignment="1">
      <alignment vertical="top" wrapText="1"/>
      <protection/>
    </xf>
    <xf numFmtId="10" fontId="68" fillId="9" borderId="10" xfId="55" applyNumberFormat="1" applyFont="1" applyFill="1" applyBorder="1" applyAlignment="1">
      <alignment vertical="top" wrapText="1"/>
      <protection/>
    </xf>
    <xf numFmtId="168" fontId="68" fillId="9" borderId="10" xfId="55" applyNumberFormat="1" applyFont="1" applyFill="1" applyBorder="1" applyAlignment="1">
      <alignment vertical="top" wrapText="1"/>
      <protection/>
    </xf>
    <xf numFmtId="0" fontId="61" fillId="9" borderId="26" xfId="55" applyFill="1" applyBorder="1" applyAlignment="1">
      <alignment vertical="top" wrapText="1"/>
      <protection/>
    </xf>
    <xf numFmtId="44" fontId="4" fillId="9" borderId="10" xfId="44" applyFont="1" applyFill="1" applyBorder="1" applyAlignment="1">
      <alignment vertical="top" wrapText="1"/>
    </xf>
    <xf numFmtId="165" fontId="15" fillId="9" borderId="10" xfId="55" applyNumberFormat="1" applyFont="1" applyFill="1" applyBorder="1" applyAlignment="1">
      <alignment vertical="top" wrapText="1"/>
      <protection/>
    </xf>
    <xf numFmtId="166" fontId="68" fillId="9" borderId="10" xfId="55" applyNumberFormat="1" applyFont="1" applyFill="1" applyBorder="1" applyAlignment="1">
      <alignment vertical="top" wrapText="1"/>
      <protection/>
    </xf>
    <xf numFmtId="165" fontId="78" fillId="9" borderId="10" xfId="55" applyNumberFormat="1" applyFont="1" applyFill="1" applyBorder="1" applyAlignment="1">
      <alignment vertical="top" wrapText="1"/>
      <protection/>
    </xf>
    <xf numFmtId="0" fontId="61" fillId="9" borderId="10" xfId="55" applyFill="1" applyBorder="1" applyAlignment="1">
      <alignment vertical="top" wrapText="1"/>
      <protection/>
    </xf>
    <xf numFmtId="0" fontId="0" fillId="9" borderId="22" xfId="0" applyFill="1" applyBorder="1" applyAlignment="1">
      <alignment/>
    </xf>
    <xf numFmtId="44" fontId="68" fillId="9" borderId="21" xfId="44" applyFont="1" applyFill="1" applyBorder="1" applyAlignment="1">
      <alignment vertical="top" wrapText="1"/>
    </xf>
    <xf numFmtId="0" fontId="61" fillId="9" borderId="15" xfId="55" applyFill="1" applyBorder="1" applyAlignment="1">
      <alignment vertical="top" wrapText="1"/>
      <protection/>
    </xf>
    <xf numFmtId="44" fontId="68" fillId="9" borderId="27" xfId="44" applyFont="1" applyFill="1" applyBorder="1" applyAlignment="1">
      <alignment horizontal="right" vertical="top" wrapText="1"/>
    </xf>
    <xf numFmtId="0" fontId="15" fillId="9" borderId="15" xfId="55" applyFont="1" applyFill="1" applyBorder="1" applyAlignment="1">
      <alignment vertical="top" wrapText="1"/>
      <protection/>
    </xf>
    <xf numFmtId="1" fontId="68" fillId="9" borderId="10" xfId="55" applyNumberFormat="1" applyFont="1" applyFill="1" applyBorder="1" applyAlignment="1">
      <alignment vertical="top" wrapText="1"/>
      <protection/>
    </xf>
    <xf numFmtId="1" fontId="68" fillId="40" borderId="10" xfId="55" applyNumberFormat="1" applyFont="1" applyFill="1" applyBorder="1" applyAlignment="1">
      <alignment vertical="top" wrapText="1"/>
      <protection/>
    </xf>
    <xf numFmtId="10" fontId="68" fillId="40" borderId="10" xfId="55" applyNumberFormat="1" applyFont="1" applyFill="1" applyBorder="1" applyAlignment="1">
      <alignment vertical="top" wrapText="1"/>
      <protection/>
    </xf>
    <xf numFmtId="44" fontId="68" fillId="40" borderId="21" xfId="44" applyFont="1" applyFill="1" applyBorder="1" applyAlignment="1">
      <alignment vertical="top" wrapText="1"/>
    </xf>
    <xf numFmtId="0" fontId="61" fillId="40" borderId="12" xfId="55" applyFill="1" applyBorder="1" applyAlignment="1">
      <alignment vertical="top" wrapText="1"/>
      <protection/>
    </xf>
    <xf numFmtId="44" fontId="0" fillId="40" borderId="22" xfId="44" applyFont="1" applyFill="1" applyBorder="1" applyAlignment="1">
      <alignment/>
    </xf>
    <xf numFmtId="165" fontId="68" fillId="40" borderId="10" xfId="55" applyNumberFormat="1" applyFont="1" applyFill="1" applyBorder="1" applyAlignment="1">
      <alignment vertical="top" wrapText="1"/>
      <protection/>
    </xf>
    <xf numFmtId="0" fontId="61" fillId="40" borderId="15" xfId="55" applyFill="1" applyBorder="1" applyAlignment="1">
      <alignment vertical="top" wrapText="1"/>
      <protection/>
    </xf>
    <xf numFmtId="44" fontId="68" fillId="40" borderId="27" xfId="44" applyFont="1" applyFill="1" applyBorder="1" applyAlignment="1">
      <alignment horizontal="right" vertical="top" wrapText="1"/>
    </xf>
    <xf numFmtId="44" fontId="4" fillId="40" borderId="10" xfId="44" applyFont="1" applyFill="1" applyBorder="1" applyAlignment="1">
      <alignment vertical="top" wrapText="1"/>
    </xf>
    <xf numFmtId="165" fontId="4" fillId="40" borderId="10" xfId="55" applyNumberFormat="1" applyFont="1" applyFill="1" applyBorder="1" applyAlignment="1">
      <alignment vertical="top" wrapText="1"/>
      <protection/>
    </xf>
    <xf numFmtId="1" fontId="4" fillId="40" borderId="10" xfId="55" applyNumberFormat="1" applyFont="1" applyFill="1" applyBorder="1" applyAlignment="1">
      <alignment vertical="top" wrapText="1"/>
      <protection/>
    </xf>
    <xf numFmtId="166" fontId="68" fillId="40" borderId="10" xfId="55" applyNumberFormat="1" applyFont="1" applyFill="1" applyBorder="1" applyAlignment="1">
      <alignment vertical="top" wrapText="1"/>
      <protection/>
    </xf>
    <xf numFmtId="168" fontId="68" fillId="40" borderId="10" xfId="55" applyNumberFormat="1" applyFont="1" applyFill="1" applyBorder="1" applyAlignment="1">
      <alignment vertical="top" wrapText="1"/>
      <protection/>
    </xf>
    <xf numFmtId="0" fontId="61" fillId="40" borderId="26" xfId="55" applyFill="1" applyBorder="1" applyAlignment="1">
      <alignment vertical="top" wrapText="1"/>
      <protection/>
    </xf>
    <xf numFmtId="10" fontId="4" fillId="40" borderId="10" xfId="55" applyNumberFormat="1" applyFont="1" applyFill="1" applyBorder="1" applyAlignment="1">
      <alignment vertical="top" wrapText="1"/>
      <protection/>
    </xf>
    <xf numFmtId="164" fontId="68" fillId="40" borderId="10" xfId="55" applyNumberFormat="1" applyFont="1" applyFill="1" applyBorder="1" applyAlignment="1">
      <alignment vertical="top" wrapText="1"/>
      <protection/>
    </xf>
    <xf numFmtId="1" fontId="4" fillId="16" borderId="10" xfId="55" applyNumberFormat="1" applyFont="1" applyFill="1" applyBorder="1" applyAlignment="1">
      <alignment vertical="top" wrapText="1"/>
      <protection/>
    </xf>
    <xf numFmtId="10" fontId="4" fillId="16" borderId="10" xfId="55" applyNumberFormat="1" applyFont="1" applyFill="1" applyBorder="1" applyAlignment="1">
      <alignment vertical="top" wrapText="1"/>
      <protection/>
    </xf>
    <xf numFmtId="164" fontId="68" fillId="16" borderId="10" xfId="55" applyNumberFormat="1" applyFont="1" applyFill="1" applyBorder="1" applyAlignment="1">
      <alignment vertical="top" wrapText="1"/>
      <protection/>
    </xf>
    <xf numFmtId="0" fontId="61" fillId="16" borderId="12" xfId="55" applyFill="1" applyBorder="1" applyAlignment="1">
      <alignment vertical="top" wrapText="1"/>
      <protection/>
    </xf>
    <xf numFmtId="44" fontId="0" fillId="16" borderId="22" xfId="44" applyFont="1" applyFill="1" applyBorder="1" applyAlignment="1">
      <alignment/>
    </xf>
    <xf numFmtId="165" fontId="4" fillId="16" borderId="10" xfId="55" applyNumberFormat="1" applyFont="1" applyFill="1" applyBorder="1" applyAlignment="1">
      <alignment vertical="top" wrapText="1"/>
      <protection/>
    </xf>
    <xf numFmtId="165" fontId="68" fillId="16" borderId="10" xfId="55" applyNumberFormat="1" applyFont="1" applyFill="1" applyBorder="1" applyAlignment="1">
      <alignment vertical="top" wrapText="1"/>
      <protection/>
    </xf>
    <xf numFmtId="10" fontId="68" fillId="16" borderId="10" xfId="55" applyNumberFormat="1" applyFont="1" applyFill="1" applyBorder="1" applyAlignment="1">
      <alignment vertical="top" wrapText="1"/>
      <protection/>
    </xf>
    <xf numFmtId="168" fontId="68" fillId="16" borderId="10" xfId="55" applyNumberFormat="1" applyFont="1" applyFill="1" applyBorder="1" applyAlignment="1">
      <alignment vertical="top" wrapText="1"/>
      <protection/>
    </xf>
    <xf numFmtId="0" fontId="61" fillId="16" borderId="26" xfId="55" applyFill="1" applyBorder="1" applyAlignment="1">
      <alignment vertical="top" wrapText="1"/>
      <protection/>
    </xf>
    <xf numFmtId="44" fontId="4" fillId="16" borderId="10" xfId="44" applyFont="1" applyFill="1" applyBorder="1" applyAlignment="1">
      <alignment vertical="top" wrapText="1"/>
    </xf>
    <xf numFmtId="166" fontId="68" fillId="16" borderId="10" xfId="55" applyNumberFormat="1" applyFont="1" applyFill="1" applyBorder="1" applyAlignment="1">
      <alignment vertical="top" wrapText="1"/>
      <protection/>
    </xf>
    <xf numFmtId="44" fontId="68" fillId="16" borderId="21" xfId="44" applyFont="1" applyFill="1" applyBorder="1" applyAlignment="1">
      <alignment vertical="top" wrapText="1"/>
    </xf>
    <xf numFmtId="0" fontId="61" fillId="16" borderId="15" xfId="55" applyFill="1" applyBorder="1" applyAlignment="1">
      <alignment vertical="top" wrapText="1"/>
      <protection/>
    </xf>
    <xf numFmtId="44" fontId="68" fillId="16" borderId="27" xfId="44" applyFont="1" applyFill="1" applyBorder="1" applyAlignment="1">
      <alignment horizontal="right" vertical="top" wrapText="1"/>
    </xf>
    <xf numFmtId="1" fontId="68" fillId="16" borderId="10" xfId="55" applyNumberFormat="1" applyFont="1" applyFill="1" applyBorder="1" applyAlignment="1">
      <alignment vertical="top" wrapText="1"/>
      <protection/>
    </xf>
    <xf numFmtId="1" fontId="68" fillId="18" borderId="10" xfId="55" applyNumberFormat="1" applyFont="1" applyFill="1" applyBorder="1" applyAlignment="1">
      <alignment vertical="top" wrapText="1"/>
      <protection/>
    </xf>
    <xf numFmtId="10" fontId="68" fillId="18" borderId="10" xfId="55" applyNumberFormat="1" applyFont="1" applyFill="1" applyBorder="1" applyAlignment="1">
      <alignment vertical="top" wrapText="1"/>
      <protection/>
    </xf>
    <xf numFmtId="44" fontId="68" fillId="18" borderId="21" xfId="44" applyFont="1" applyFill="1" applyBorder="1" applyAlignment="1">
      <alignment vertical="top" wrapText="1"/>
    </xf>
    <xf numFmtId="0" fontId="61" fillId="18" borderId="12" xfId="55" applyFill="1" applyBorder="1" applyAlignment="1">
      <alignment vertical="top" wrapText="1"/>
      <protection/>
    </xf>
    <xf numFmtId="44" fontId="0" fillId="18" borderId="22" xfId="44" applyFont="1" applyFill="1" applyBorder="1" applyAlignment="1">
      <alignment/>
    </xf>
    <xf numFmtId="1" fontId="68" fillId="19" borderId="10" xfId="55" applyNumberFormat="1" applyFont="1" applyFill="1" applyBorder="1" applyAlignment="1">
      <alignment vertical="top" wrapText="1"/>
      <protection/>
    </xf>
    <xf numFmtId="10" fontId="68" fillId="19" borderId="10" xfId="55" applyNumberFormat="1" applyFont="1" applyFill="1" applyBorder="1" applyAlignment="1">
      <alignment vertical="top" wrapText="1"/>
      <protection/>
    </xf>
    <xf numFmtId="44" fontId="68" fillId="19" borderId="21" xfId="44" applyFont="1" applyFill="1" applyBorder="1" applyAlignment="1">
      <alignment vertical="top" wrapText="1"/>
    </xf>
    <xf numFmtId="0" fontId="61" fillId="19" borderId="12" xfId="55" applyFill="1" applyBorder="1" applyAlignment="1">
      <alignment vertical="top" wrapText="1"/>
      <protection/>
    </xf>
    <xf numFmtId="44" fontId="0" fillId="19" borderId="22" xfId="44" applyFont="1" applyFill="1" applyBorder="1" applyAlignment="1">
      <alignment/>
    </xf>
    <xf numFmtId="165" fontId="68" fillId="19" borderId="10" xfId="55" applyNumberFormat="1" applyFont="1" applyFill="1" applyBorder="1" applyAlignment="1">
      <alignment vertical="top" wrapText="1"/>
      <protection/>
    </xf>
    <xf numFmtId="0" fontId="61" fillId="19" borderId="15" xfId="55" applyFill="1" applyBorder="1" applyAlignment="1">
      <alignment vertical="top" wrapText="1"/>
      <protection/>
    </xf>
    <xf numFmtId="44" fontId="68" fillId="19" borderId="27" xfId="44" applyFont="1" applyFill="1" applyBorder="1" applyAlignment="1">
      <alignment horizontal="right" vertical="top" wrapText="1"/>
    </xf>
    <xf numFmtId="44" fontId="4" fillId="19" borderId="10" xfId="44" applyFont="1" applyFill="1" applyBorder="1" applyAlignment="1">
      <alignment vertical="top" wrapText="1"/>
    </xf>
    <xf numFmtId="1" fontId="4" fillId="19" borderId="10" xfId="55" applyNumberFormat="1" applyFont="1" applyFill="1" applyBorder="1" applyAlignment="1">
      <alignment vertical="top" wrapText="1"/>
      <protection/>
    </xf>
    <xf numFmtId="166" fontId="68" fillId="19" borderId="10" xfId="55" applyNumberFormat="1" applyFont="1" applyFill="1" applyBorder="1" applyAlignment="1">
      <alignment vertical="top" wrapText="1"/>
      <protection/>
    </xf>
    <xf numFmtId="165" fontId="4" fillId="19" borderId="10" xfId="55" applyNumberFormat="1" applyFont="1" applyFill="1" applyBorder="1" applyAlignment="1">
      <alignment vertical="top" wrapText="1"/>
      <protection/>
    </xf>
    <xf numFmtId="168" fontId="68" fillId="19" borderId="10" xfId="55" applyNumberFormat="1" applyFont="1" applyFill="1" applyBorder="1" applyAlignment="1">
      <alignment vertical="top" wrapText="1"/>
      <protection/>
    </xf>
    <xf numFmtId="0" fontId="61" fillId="19" borderId="26" xfId="55" applyFill="1" applyBorder="1" applyAlignment="1">
      <alignment vertical="top" wrapText="1"/>
      <protection/>
    </xf>
    <xf numFmtId="10" fontId="4" fillId="19" borderId="10" xfId="55" applyNumberFormat="1" applyFont="1" applyFill="1" applyBorder="1" applyAlignment="1">
      <alignment vertical="top" wrapText="1"/>
      <protection/>
    </xf>
    <xf numFmtId="164" fontId="68" fillId="19" borderId="10" xfId="55" applyNumberFormat="1" applyFont="1" applyFill="1" applyBorder="1" applyAlignment="1">
      <alignment vertical="top" wrapText="1"/>
      <protection/>
    </xf>
    <xf numFmtId="1" fontId="4" fillId="18" borderId="10" xfId="55" applyNumberFormat="1" applyFont="1" applyFill="1" applyBorder="1" applyAlignment="1">
      <alignment vertical="top" wrapText="1"/>
      <protection/>
    </xf>
    <xf numFmtId="165" fontId="4" fillId="18" borderId="10" xfId="55" applyNumberFormat="1" applyFont="1" applyFill="1" applyBorder="1" applyAlignment="1">
      <alignment vertical="top" wrapText="1"/>
      <protection/>
    </xf>
    <xf numFmtId="165" fontId="68" fillId="18" borderId="10" xfId="55" applyNumberFormat="1" applyFont="1" applyFill="1" applyBorder="1" applyAlignment="1">
      <alignment vertical="top" wrapText="1"/>
      <protection/>
    </xf>
    <xf numFmtId="168" fontId="68" fillId="18" borderId="10" xfId="55" applyNumberFormat="1" applyFont="1" applyFill="1" applyBorder="1" applyAlignment="1">
      <alignment vertical="top" wrapText="1"/>
      <protection/>
    </xf>
    <xf numFmtId="0" fontId="61" fillId="18" borderId="26" xfId="55" applyFill="1" applyBorder="1" applyAlignment="1">
      <alignment vertical="top" wrapText="1"/>
      <protection/>
    </xf>
    <xf numFmtId="44" fontId="4" fillId="18" borderId="10" xfId="44" applyFont="1" applyFill="1" applyBorder="1" applyAlignment="1">
      <alignment vertical="top" wrapText="1"/>
    </xf>
    <xf numFmtId="166" fontId="68" fillId="18" borderId="10" xfId="55" applyNumberFormat="1" applyFont="1" applyFill="1" applyBorder="1" applyAlignment="1">
      <alignment vertical="top" wrapText="1"/>
      <protection/>
    </xf>
    <xf numFmtId="44" fontId="68" fillId="19" borderId="10" xfId="44" applyFont="1" applyFill="1" applyBorder="1" applyAlignment="1">
      <alignment vertical="top" wrapText="1"/>
    </xf>
    <xf numFmtId="44" fontId="66" fillId="19" borderId="10" xfId="44" applyFont="1" applyFill="1" applyBorder="1" applyAlignment="1">
      <alignment vertical="top" wrapText="1"/>
    </xf>
    <xf numFmtId="44" fontId="68" fillId="14" borderId="10" xfId="44" applyFont="1" applyFill="1" applyBorder="1" applyAlignment="1">
      <alignment vertical="top" wrapText="1"/>
    </xf>
    <xf numFmtId="44" fontId="66" fillId="14" borderId="10" xfId="44" applyFont="1" applyFill="1" applyBorder="1" applyAlignment="1">
      <alignment vertical="top" wrapText="1"/>
    </xf>
    <xf numFmtId="44" fontId="68" fillId="16" borderId="10" xfId="44" applyFont="1" applyFill="1" applyBorder="1" applyAlignment="1">
      <alignment vertical="top" wrapText="1"/>
    </xf>
    <xf numFmtId="44" fontId="66" fillId="16" borderId="10" xfId="44" applyFont="1" applyFill="1" applyBorder="1" applyAlignment="1">
      <alignment vertical="top" wrapText="1"/>
    </xf>
    <xf numFmtId="44" fontId="68" fillId="9" borderId="10" xfId="44" applyFont="1" applyFill="1" applyBorder="1" applyAlignment="1">
      <alignment vertical="top" wrapText="1"/>
    </xf>
    <xf numFmtId="44" fontId="66" fillId="9" borderId="10" xfId="44" applyFont="1" applyFill="1" applyBorder="1" applyAlignment="1">
      <alignment vertical="top" wrapText="1"/>
    </xf>
    <xf numFmtId="0" fontId="0" fillId="0" borderId="0" xfId="0" applyAlignment="1">
      <alignment horizontal="left" indent="2"/>
    </xf>
    <xf numFmtId="10" fontId="0" fillId="0" borderId="0" xfId="58" applyNumberFormat="1" applyFont="1" applyFill="1" applyAlignment="1">
      <alignment horizontal="left"/>
    </xf>
    <xf numFmtId="10" fontId="0" fillId="0" borderId="0" xfId="0" applyNumberFormat="1" applyFill="1" applyAlignment="1">
      <alignment/>
    </xf>
    <xf numFmtId="10" fontId="0" fillId="0" borderId="0" xfId="58" applyNumberFormat="1" applyFont="1" applyFill="1" applyAlignment="1">
      <alignment horizontal="right"/>
    </xf>
    <xf numFmtId="10" fontId="0" fillId="0" borderId="0" xfId="58" applyNumberFormat="1" applyFont="1" applyFill="1" applyAlignment="1">
      <alignment horizontal="left"/>
    </xf>
    <xf numFmtId="9" fontId="76" fillId="0" borderId="10" xfId="55" applyNumberFormat="1" applyFont="1" applyFill="1" applyBorder="1" applyAlignment="1">
      <alignment vertical="top" wrapText="1"/>
      <protection/>
    </xf>
    <xf numFmtId="0" fontId="0" fillId="0" borderId="28" xfId="0" applyFill="1" applyBorder="1" applyAlignment="1">
      <alignment vertical="top" wrapText="1"/>
    </xf>
    <xf numFmtId="0" fontId="0" fillId="0" borderId="0" xfId="0" applyFill="1" applyAlignment="1">
      <alignment vertical="top" wrapText="1"/>
    </xf>
    <xf numFmtId="0" fontId="0" fillId="0" borderId="0" xfId="0" applyFill="1" applyAlignment="1">
      <alignment wrapText="1"/>
    </xf>
    <xf numFmtId="44" fontId="0" fillId="0" borderId="0" xfId="44" applyFont="1" applyAlignment="1">
      <alignment/>
    </xf>
    <xf numFmtId="44" fontId="0" fillId="0" borderId="0" xfId="0" applyNumberFormat="1" applyFill="1" applyAlignment="1">
      <alignment/>
    </xf>
    <xf numFmtId="9" fontId="61" fillId="0" borderId="0" xfId="58" applyFont="1" applyFill="1" applyBorder="1" applyAlignment="1">
      <alignment vertical="top" wrapText="1"/>
    </xf>
    <xf numFmtId="0" fontId="72" fillId="0" borderId="23" xfId="0" applyFont="1" applyFill="1" applyBorder="1" applyAlignment="1">
      <alignment/>
    </xf>
    <xf numFmtId="0" fontId="16" fillId="0" borderId="23" xfId="55" applyNumberFormat="1" applyFont="1" applyFill="1" applyBorder="1" applyAlignment="1">
      <alignment horizontal="left" vertical="top" wrapText="1"/>
      <protection/>
    </xf>
    <xf numFmtId="0" fontId="72" fillId="0" borderId="0" xfId="0" applyFont="1" applyFill="1" applyBorder="1" applyAlignment="1">
      <alignment/>
    </xf>
    <xf numFmtId="44" fontId="74" fillId="0" borderId="23" xfId="44" applyFont="1" applyFill="1" applyBorder="1" applyAlignment="1">
      <alignment vertical="top" wrapText="1"/>
    </xf>
    <xf numFmtId="0" fontId="16" fillId="0" borderId="0" xfId="55" applyNumberFormat="1" applyFont="1" applyFill="1" applyBorder="1" applyAlignment="1">
      <alignment horizontal="left" vertical="top" wrapText="1"/>
      <protection/>
    </xf>
    <xf numFmtId="44" fontId="79" fillId="0" borderId="0" xfId="44" applyFont="1" applyAlignment="1">
      <alignment/>
    </xf>
    <xf numFmtId="0" fontId="0" fillId="0" borderId="0" xfId="0" applyFont="1" applyFill="1" applyAlignment="1">
      <alignment/>
    </xf>
    <xf numFmtId="0" fontId="0" fillId="0" borderId="0" xfId="0" applyFill="1" applyAlignment="1">
      <alignment/>
    </xf>
    <xf numFmtId="0" fontId="0" fillId="0" borderId="0" xfId="0" applyAlignment="1">
      <alignment/>
    </xf>
    <xf numFmtId="0" fontId="3" fillId="0" borderId="10" xfId="55" applyFont="1" applyFill="1" applyBorder="1" applyAlignment="1">
      <alignment vertical="top" wrapText="1"/>
      <protection/>
    </xf>
    <xf numFmtId="0" fontId="3" fillId="37" borderId="10" xfId="55" applyFont="1" applyFill="1" applyBorder="1" applyAlignment="1">
      <alignment vertical="top" wrapText="1"/>
      <protection/>
    </xf>
    <xf numFmtId="44" fontId="66" fillId="0" borderId="10" xfId="44" applyFont="1" applyFill="1" applyBorder="1" applyAlignment="1">
      <alignment vertical="top" wrapText="1"/>
    </xf>
    <xf numFmtId="0" fontId="3" fillId="37" borderId="19" xfId="55" applyFont="1" applyFill="1" applyBorder="1" applyAlignment="1">
      <alignment vertical="top" wrapText="1"/>
      <protection/>
    </xf>
    <xf numFmtId="44" fontId="0" fillId="0" borderId="0" xfId="44" applyFont="1" applyAlignment="1">
      <alignment/>
    </xf>
    <xf numFmtId="44" fontId="0" fillId="0" borderId="0" xfId="0" applyNumberFormat="1" applyAlignment="1">
      <alignment/>
    </xf>
    <xf numFmtId="0" fontId="16" fillId="40" borderId="10" xfId="55" applyFont="1" applyFill="1" applyBorder="1" applyAlignment="1">
      <alignment vertical="top" wrapText="1"/>
      <protection/>
    </xf>
    <xf numFmtId="0" fontId="16" fillId="16" borderId="10" xfId="55" applyFont="1" applyFill="1" applyBorder="1" applyAlignment="1">
      <alignment vertical="top" wrapText="1"/>
      <protection/>
    </xf>
    <xf numFmtId="0" fontId="16" fillId="19" borderId="10" xfId="55" applyFont="1" applyFill="1" applyBorder="1" applyAlignment="1">
      <alignment vertical="top" wrapText="1"/>
      <protection/>
    </xf>
    <xf numFmtId="0" fontId="16" fillId="9" borderId="10" xfId="55" applyFont="1" applyFill="1" applyBorder="1" applyAlignment="1">
      <alignment vertical="top" wrapText="1"/>
      <protection/>
    </xf>
    <xf numFmtId="44" fontId="68" fillId="19" borderId="10" xfId="44" applyFont="1" applyFill="1" applyBorder="1" applyAlignment="1">
      <alignment vertical="top" wrapText="1"/>
    </xf>
    <xf numFmtId="44" fontId="66" fillId="19" borderId="10" xfId="44" applyFont="1" applyFill="1" applyBorder="1" applyAlignment="1">
      <alignment vertical="top" wrapText="1"/>
    </xf>
    <xf numFmtId="44" fontId="68" fillId="14" borderId="10" xfId="44" applyFont="1" applyFill="1" applyBorder="1" applyAlignment="1">
      <alignment vertical="top" wrapText="1"/>
    </xf>
    <xf numFmtId="44" fontId="66" fillId="14" borderId="10" xfId="44" applyFont="1" applyFill="1" applyBorder="1" applyAlignment="1">
      <alignment vertical="top" wrapText="1"/>
    </xf>
    <xf numFmtId="44" fontId="68" fillId="16" borderId="10" xfId="44" applyFont="1" applyFill="1" applyBorder="1" applyAlignment="1">
      <alignment vertical="top" wrapText="1"/>
    </xf>
    <xf numFmtId="44" fontId="66" fillId="16" borderId="10" xfId="44" applyFont="1" applyFill="1" applyBorder="1" applyAlignment="1">
      <alignment vertical="top" wrapText="1"/>
    </xf>
    <xf numFmtId="44" fontId="68" fillId="9" borderId="10" xfId="44" applyFont="1" applyFill="1" applyBorder="1" applyAlignment="1">
      <alignment vertical="top" wrapText="1"/>
    </xf>
    <xf numFmtId="44" fontId="66" fillId="9" borderId="10" xfId="44" applyFont="1" applyFill="1" applyBorder="1" applyAlignment="1">
      <alignment vertical="top" wrapText="1"/>
    </xf>
    <xf numFmtId="0" fontId="0" fillId="0" borderId="28" xfId="0" applyFill="1" applyBorder="1" applyAlignment="1">
      <alignment vertical="top" wrapText="1"/>
    </xf>
    <xf numFmtId="0" fontId="0" fillId="0" borderId="0" xfId="0" applyFill="1" applyAlignment="1">
      <alignment vertical="top" wrapText="1"/>
    </xf>
    <xf numFmtId="0" fontId="0" fillId="0" borderId="28" xfId="0" applyFill="1" applyBorder="1" applyAlignment="1">
      <alignment vertical="top"/>
    </xf>
    <xf numFmtId="0" fontId="0" fillId="0" borderId="0" xfId="0" applyFill="1" applyAlignment="1">
      <alignment vertical="top"/>
    </xf>
    <xf numFmtId="0" fontId="3" fillId="37" borderId="0" xfId="55" applyFont="1" applyFill="1" applyBorder="1" applyAlignment="1">
      <alignment vertical="top" wrapText="1"/>
      <protection/>
    </xf>
    <xf numFmtId="1" fontId="61" fillId="0" borderId="10" xfId="55" applyNumberFormat="1" applyFill="1" applyBorder="1" applyAlignment="1">
      <alignment vertical="top" wrapText="1"/>
      <protection/>
    </xf>
    <xf numFmtId="0" fontId="16" fillId="0" borderId="23" xfId="55" applyNumberFormat="1" applyFont="1" applyFill="1" applyBorder="1" applyAlignment="1">
      <alignment horizontal="left" vertical="top" wrapText="1"/>
      <protection/>
    </xf>
    <xf numFmtId="0" fontId="72" fillId="0" borderId="23" xfId="0" applyFont="1" applyFill="1" applyBorder="1" applyAlignment="1">
      <alignment/>
    </xf>
    <xf numFmtId="44" fontId="74" fillId="0" borderId="0" xfId="44" applyFont="1" applyFill="1" applyBorder="1" applyAlignment="1">
      <alignment vertical="top" wrapText="1"/>
    </xf>
    <xf numFmtId="172" fontId="0" fillId="0" borderId="0" xfId="58" applyNumberFormat="1" applyFont="1" applyAlignment="1">
      <alignment/>
    </xf>
    <xf numFmtId="0" fontId="4" fillId="9" borderId="10" xfId="55" applyFont="1" applyFill="1" applyBorder="1" applyAlignment="1">
      <alignment vertical="top" wrapText="1"/>
      <protection/>
    </xf>
    <xf numFmtId="0" fontId="0" fillId="0" borderId="29" xfId="0" applyFont="1" applyBorder="1" applyAlignment="1">
      <alignment horizontal="left" indent="2"/>
    </xf>
    <xf numFmtId="0" fontId="72" fillId="40" borderId="0" xfId="0" applyFont="1" applyFill="1" applyAlignment="1">
      <alignment/>
    </xf>
    <xf numFmtId="0" fontId="72" fillId="16" borderId="0" xfId="0" applyFont="1" applyFill="1" applyAlignment="1">
      <alignment/>
    </xf>
    <xf numFmtId="44" fontId="0" fillId="0" borderId="30" xfId="44" applyNumberFormat="1" applyFont="1" applyFill="1" applyBorder="1" applyAlignment="1">
      <alignment/>
    </xf>
    <xf numFmtId="0" fontId="0" fillId="0" borderId="0" xfId="0" applyAlignment="1">
      <alignment/>
    </xf>
    <xf numFmtId="0" fontId="72" fillId="0" borderId="0" xfId="0" applyFont="1" applyFill="1" applyAlignment="1">
      <alignment/>
    </xf>
    <xf numFmtId="0" fontId="16" fillId="9" borderId="10" xfId="55" applyFont="1" applyFill="1" applyBorder="1" applyAlignment="1">
      <alignment vertical="top" wrapText="1"/>
      <protection/>
    </xf>
    <xf numFmtId="1" fontId="16" fillId="9" borderId="10" xfId="55" applyNumberFormat="1" applyFont="1" applyFill="1" applyBorder="1" applyAlignment="1">
      <alignment vertical="top" wrapText="1"/>
      <protection/>
    </xf>
    <xf numFmtId="165" fontId="16" fillId="9" borderId="10" xfId="55" applyNumberFormat="1" applyFont="1" applyFill="1" applyBorder="1" applyAlignment="1">
      <alignment vertical="top" wrapText="1"/>
      <protection/>
    </xf>
    <xf numFmtId="9" fontId="16" fillId="9" borderId="10" xfId="58" applyFont="1" applyFill="1" applyBorder="1" applyAlignment="1">
      <alignment vertical="top" wrapText="1"/>
    </xf>
    <xf numFmtId="1" fontId="16" fillId="9" borderId="10" xfId="55" applyNumberFormat="1" applyFont="1" applyFill="1" applyBorder="1" applyAlignment="1">
      <alignment horizontal="center" vertical="top" wrapText="1"/>
      <protection/>
    </xf>
    <xf numFmtId="5" fontId="0" fillId="0" borderId="0" xfId="0" applyNumberFormat="1" applyAlignment="1">
      <alignment/>
    </xf>
    <xf numFmtId="0" fontId="0" fillId="41" borderId="0" xfId="0" applyFont="1" applyFill="1" applyAlignment="1">
      <alignment horizontal="left" vertical="top" wrapText="1"/>
    </xf>
    <xf numFmtId="0" fontId="44" fillId="0" borderId="0" xfId="55" applyFont="1" applyFill="1" applyBorder="1" applyAlignment="1">
      <alignment horizontal="center" wrapText="1"/>
      <protection/>
    </xf>
    <xf numFmtId="0" fontId="44" fillId="0" borderId="31" xfId="55" applyFont="1" applyFill="1" applyBorder="1" applyAlignment="1">
      <alignment horizontal="center" wrapText="1"/>
      <protection/>
    </xf>
    <xf numFmtId="0" fontId="0" fillId="0" borderId="0" xfId="0" applyFont="1" applyAlignment="1">
      <alignment horizontal="center"/>
    </xf>
    <xf numFmtId="0" fontId="73" fillId="42" borderId="0" xfId="0" applyFont="1" applyFill="1" applyBorder="1" applyAlignment="1">
      <alignment horizontal="center"/>
    </xf>
    <xf numFmtId="0" fontId="73" fillId="43" borderId="0" xfId="0" applyFont="1" applyFill="1" applyBorder="1" applyAlignment="1">
      <alignment horizontal="center"/>
    </xf>
    <xf numFmtId="0" fontId="80" fillId="44" borderId="0" xfId="0" applyFont="1" applyFill="1" applyAlignment="1">
      <alignment horizontal="center"/>
    </xf>
    <xf numFmtId="0" fontId="72" fillId="41" borderId="0" xfId="0" applyFont="1" applyFill="1" applyAlignment="1">
      <alignment horizontal="left" vertical="top" wrapText="1"/>
    </xf>
    <xf numFmtId="0" fontId="61" fillId="41" borderId="0" xfId="55" applyFill="1" applyBorder="1" applyAlignment="1">
      <alignment horizontal="left" vertical="top" wrapText="1"/>
      <protection/>
    </xf>
    <xf numFmtId="0" fontId="67" fillId="45" borderId="0" xfId="0" applyFont="1" applyFill="1" applyAlignment="1">
      <alignment horizontal="center"/>
    </xf>
    <xf numFmtId="0" fontId="67" fillId="46" borderId="0" xfId="0" applyFont="1" applyFill="1" applyAlignment="1">
      <alignment horizontal="center"/>
    </xf>
    <xf numFmtId="0" fontId="72" fillId="9" borderId="0" xfId="0" applyFont="1" applyFill="1" applyAlignment="1">
      <alignment horizontal="center" vertical="center"/>
    </xf>
    <xf numFmtId="0" fontId="72" fillId="19" borderId="0" xfId="0" applyFont="1" applyFill="1" applyAlignment="1">
      <alignment horizontal="center"/>
    </xf>
    <xf numFmtId="0" fontId="0" fillId="41" borderId="0" xfId="0" applyFill="1" applyAlignment="1">
      <alignment horizontal="left" vertical="top" wrapText="1"/>
    </xf>
    <xf numFmtId="0" fontId="3" fillId="47" borderId="11" xfId="55" applyFont="1" applyFill="1" applyBorder="1" applyAlignment="1">
      <alignment horizontal="center" vertical="center" wrapText="1"/>
      <protection/>
    </xf>
    <xf numFmtId="0" fontId="3" fillId="47" borderId="13" xfId="55" applyFont="1" applyFill="1" applyBorder="1" applyAlignment="1">
      <alignment horizontal="center" vertical="center" wrapText="1"/>
      <protection/>
    </xf>
    <xf numFmtId="0" fontId="3" fillId="47" borderId="11" xfId="55" applyFont="1" applyFill="1" applyBorder="1" applyAlignment="1">
      <alignment horizontal="center" wrapText="1"/>
      <protection/>
    </xf>
    <xf numFmtId="0" fontId="3" fillId="47" borderId="13" xfId="55" applyFont="1" applyFill="1" applyBorder="1" applyAlignment="1">
      <alignment horizontal="center" wrapText="1"/>
      <protection/>
    </xf>
    <xf numFmtId="0" fontId="3" fillId="47" borderId="11" xfId="55" applyFont="1" applyFill="1" applyBorder="1" applyAlignment="1">
      <alignment horizontal="center" vertical="top" wrapText="1"/>
      <protection/>
    </xf>
    <xf numFmtId="0" fontId="3" fillId="47" borderId="13" xfId="55" applyFont="1" applyFill="1" applyBorder="1" applyAlignment="1">
      <alignment horizontal="center" vertical="top" wrapText="1"/>
      <protection/>
    </xf>
    <xf numFmtId="0" fontId="3" fillId="33" borderId="26" xfId="55" applyFont="1" applyFill="1" applyBorder="1" applyAlignment="1">
      <alignment horizontal="center" vertical="top" wrapText="1"/>
      <protection/>
    </xf>
    <xf numFmtId="0" fontId="3" fillId="33" borderId="0" xfId="55" applyFont="1" applyFill="1" applyBorder="1" applyAlignment="1">
      <alignment horizontal="center" vertical="top" wrapText="1"/>
      <protection/>
    </xf>
    <xf numFmtId="0" fontId="69" fillId="48" borderId="0" xfId="0" applyFont="1" applyFill="1" applyAlignment="1">
      <alignment horizontal="center"/>
    </xf>
    <xf numFmtId="0" fontId="69" fillId="49" borderId="0" xfId="0" applyFont="1" applyFill="1" applyBorder="1" applyAlignment="1">
      <alignment horizontal="center"/>
    </xf>
    <xf numFmtId="0" fontId="81" fillId="50" borderId="0" xfId="0" applyFont="1" applyFill="1" applyAlignment="1">
      <alignment horizontal="center"/>
    </xf>
    <xf numFmtId="0" fontId="81" fillId="49" borderId="0" xfId="0" applyFont="1" applyFill="1" applyAlignment="1">
      <alignment horizontal="center"/>
    </xf>
    <xf numFmtId="0" fontId="3" fillId="51" borderId="32" xfId="55" applyFont="1" applyFill="1" applyBorder="1" applyAlignment="1">
      <alignment horizontal="center" vertical="center" wrapText="1"/>
      <protection/>
    </xf>
    <xf numFmtId="0" fontId="3" fillId="51" borderId="13" xfId="55" applyFont="1" applyFill="1" applyBorder="1" applyAlignment="1">
      <alignment horizontal="center" vertical="center" wrapText="1"/>
      <protection/>
    </xf>
    <xf numFmtId="0" fontId="3" fillId="52" borderId="32" xfId="55" applyFont="1" applyFill="1" applyBorder="1" applyAlignment="1">
      <alignment horizontal="center" vertical="center" wrapText="1"/>
      <protection/>
    </xf>
    <xf numFmtId="0" fontId="3" fillId="52" borderId="12" xfId="55" applyFont="1" applyFill="1" applyBorder="1" applyAlignment="1">
      <alignment horizontal="center" vertical="center" wrapText="1"/>
      <protection/>
    </xf>
    <xf numFmtId="0" fontId="3" fillId="52" borderId="13" xfId="55" applyFont="1" applyFill="1" applyBorder="1" applyAlignment="1">
      <alignment horizontal="center" vertical="center" wrapText="1"/>
      <protection/>
    </xf>
    <xf numFmtId="165" fontId="3" fillId="52" borderId="32" xfId="55" applyNumberFormat="1" applyFont="1" applyFill="1" applyBorder="1" applyAlignment="1">
      <alignment horizontal="center" vertical="center" wrapText="1"/>
      <protection/>
    </xf>
    <xf numFmtId="165" fontId="3" fillId="52" borderId="12" xfId="55" applyNumberFormat="1" applyFont="1" applyFill="1" applyBorder="1" applyAlignment="1">
      <alignment horizontal="center" vertical="center" wrapText="1"/>
      <protection/>
    </xf>
    <xf numFmtId="165" fontId="3" fillId="52" borderId="13" xfId="55" applyNumberFormat="1" applyFont="1" applyFill="1" applyBorder="1" applyAlignment="1">
      <alignment horizontal="center" vertical="center" wrapText="1"/>
      <protection/>
    </xf>
    <xf numFmtId="0" fontId="72" fillId="9" borderId="0" xfId="0" applyFont="1" applyFill="1" applyAlignment="1">
      <alignment horizontal="center"/>
    </xf>
    <xf numFmtId="0" fontId="3" fillId="51" borderId="16" xfId="55" applyFont="1" applyFill="1" applyBorder="1" applyAlignment="1">
      <alignment horizontal="center" vertical="top" wrapText="1"/>
      <protection/>
    </xf>
    <xf numFmtId="0" fontId="3" fillId="51" borderId="31" xfId="55" applyFont="1" applyFill="1" applyBorder="1" applyAlignment="1">
      <alignment horizontal="center" vertical="top" wrapText="1"/>
      <protection/>
    </xf>
    <xf numFmtId="0" fontId="3" fillId="53" borderId="0" xfId="55" applyFont="1" applyFill="1" applyBorder="1" applyAlignment="1">
      <alignment horizontal="center" vertical="center" wrapText="1"/>
      <protection/>
    </xf>
    <xf numFmtId="0" fontId="3" fillId="53" borderId="31" xfId="55" applyFont="1" applyFill="1" applyBorder="1" applyAlignment="1">
      <alignment horizontal="center" vertical="center" wrapText="1"/>
      <protection/>
    </xf>
    <xf numFmtId="0" fontId="0" fillId="0" borderId="0" xfId="0" applyAlignment="1">
      <alignment horizontal="left" vertical="top" wrapText="1"/>
    </xf>
    <xf numFmtId="0" fontId="0" fillId="0" borderId="0" xfId="0" applyAlignment="1">
      <alignment horizontal="left" vertical="top"/>
    </xf>
    <xf numFmtId="0" fontId="3" fillId="54" borderId="33" xfId="55" applyFont="1" applyFill="1" applyBorder="1" applyAlignment="1">
      <alignment horizontal="center" vertical="top" wrapText="1"/>
      <protection/>
    </xf>
    <xf numFmtId="0" fontId="3" fillId="54" borderId="16" xfId="55" applyFont="1" applyFill="1" applyBorder="1" applyAlignment="1">
      <alignment horizontal="center" vertical="top" wrapText="1"/>
      <protection/>
    </xf>
    <xf numFmtId="0" fontId="3" fillId="54" borderId="28" xfId="55" applyFont="1" applyFill="1" applyBorder="1" applyAlignment="1">
      <alignment horizontal="center" vertical="top" wrapText="1"/>
      <protection/>
    </xf>
    <xf numFmtId="0" fontId="3" fillId="54" borderId="31" xfId="55" applyFont="1" applyFill="1" applyBorder="1" applyAlignment="1">
      <alignment horizontal="center" vertical="top" wrapText="1"/>
      <protection/>
    </xf>
    <xf numFmtId="0" fontId="3" fillId="53" borderId="0" xfId="55" applyFont="1" applyFill="1" applyBorder="1" applyAlignment="1">
      <alignment horizontal="center" wrapText="1"/>
      <protection/>
    </xf>
    <xf numFmtId="0" fontId="3" fillId="53" borderId="31" xfId="55" applyFont="1" applyFill="1" applyBorder="1" applyAlignment="1">
      <alignment horizontal="center" wrapText="1"/>
      <protection/>
    </xf>
    <xf numFmtId="0" fontId="3" fillId="54" borderId="26" xfId="55" applyFont="1" applyFill="1" applyBorder="1" applyAlignment="1">
      <alignment horizontal="center" vertical="top" wrapText="1"/>
      <protection/>
    </xf>
    <xf numFmtId="0" fontId="3" fillId="54" borderId="0" xfId="55" applyFont="1" applyFill="1" applyBorder="1" applyAlignment="1">
      <alignment horizontal="center" vertical="top" wrapText="1"/>
      <protection/>
    </xf>
    <xf numFmtId="0" fontId="69" fillId="41" borderId="0" xfId="0" applyFont="1" applyFill="1" applyAlignment="1">
      <alignment horizontal="center"/>
    </xf>
    <xf numFmtId="0" fontId="69" fillId="49" borderId="0" xfId="0" applyFont="1" applyFill="1" applyAlignment="1">
      <alignment horizontal="center"/>
    </xf>
    <xf numFmtId="0" fontId="3" fillId="53" borderId="0" xfId="55" applyFont="1" applyFill="1" applyBorder="1" applyAlignment="1">
      <alignment horizontal="center" vertical="top" wrapText="1"/>
      <protection/>
    </xf>
    <xf numFmtId="0" fontId="3" fillId="53" borderId="31" xfId="55" applyFont="1" applyFill="1" applyBorder="1" applyAlignment="1">
      <alignment horizontal="center" vertical="top" wrapText="1"/>
      <protection/>
    </xf>
    <xf numFmtId="0" fontId="82" fillId="44" borderId="0" xfId="0" applyFont="1" applyFill="1" applyAlignment="1">
      <alignment horizontal="center"/>
    </xf>
    <xf numFmtId="0" fontId="48" fillId="45" borderId="0" xfId="0" applyFont="1" applyFill="1" applyBorder="1" applyAlignment="1">
      <alignment horizontal="center"/>
    </xf>
    <xf numFmtId="0" fontId="3" fillId="55" borderId="11" xfId="55" applyFont="1" applyFill="1" applyBorder="1" applyAlignment="1">
      <alignment horizontal="center" wrapText="1"/>
      <protection/>
    </xf>
    <xf numFmtId="0" fontId="3" fillId="55" borderId="13" xfId="55" applyFont="1" applyFill="1" applyBorder="1" applyAlignment="1">
      <alignment horizontal="center" wrapText="1"/>
      <protection/>
    </xf>
    <xf numFmtId="0" fontId="3" fillId="55" borderId="24" xfId="55" applyFont="1" applyFill="1" applyBorder="1" applyAlignment="1">
      <alignment horizontal="center" wrapText="1"/>
      <protection/>
    </xf>
    <xf numFmtId="0" fontId="3" fillId="55" borderId="16" xfId="55" applyFont="1" applyFill="1" applyBorder="1" applyAlignment="1">
      <alignment horizontal="center" wrapText="1"/>
      <protection/>
    </xf>
    <xf numFmtId="0" fontId="69" fillId="56" borderId="0" xfId="0" applyFont="1" applyFill="1" applyAlignment="1">
      <alignment horizontal="center"/>
    </xf>
    <xf numFmtId="0" fontId="3" fillId="57" borderId="11" xfId="55" applyFont="1" applyFill="1" applyBorder="1" applyAlignment="1">
      <alignment horizontal="center" wrapText="1"/>
      <protection/>
    </xf>
    <xf numFmtId="0" fontId="3" fillId="57" borderId="13" xfId="55" applyFont="1" applyFill="1" applyBorder="1" applyAlignment="1">
      <alignment horizontal="center" wrapText="1"/>
      <protection/>
    </xf>
    <xf numFmtId="0" fontId="3" fillId="57" borderId="11" xfId="55" applyFont="1" applyFill="1" applyBorder="1" applyAlignment="1">
      <alignment horizontal="center" vertical="center" wrapText="1"/>
      <protection/>
    </xf>
    <xf numFmtId="0" fontId="3" fillId="57" borderId="13" xfId="55" applyFont="1" applyFill="1" applyBorder="1" applyAlignment="1">
      <alignment horizontal="center" vertical="center" wrapText="1"/>
      <protection/>
    </xf>
    <xf numFmtId="0" fontId="3" fillId="36" borderId="16" xfId="55" applyFont="1" applyFill="1" applyBorder="1" applyAlignment="1">
      <alignment horizontal="center" vertical="top" wrapText="1"/>
      <protection/>
    </xf>
    <xf numFmtId="0" fontId="3" fillId="36" borderId="31" xfId="55" applyFont="1" applyFill="1" applyBorder="1" applyAlignment="1">
      <alignment horizontal="center" vertical="top" wrapText="1"/>
      <protection/>
    </xf>
    <xf numFmtId="0" fontId="0" fillId="58" borderId="0" xfId="0" applyFill="1" applyAlignment="1">
      <alignment horizontal="center"/>
    </xf>
    <xf numFmtId="0" fontId="69" fillId="59" borderId="31" xfId="0" applyFont="1" applyFill="1" applyBorder="1" applyAlignment="1">
      <alignment horizontal="center"/>
    </xf>
    <xf numFmtId="0" fontId="69" fillId="60" borderId="0" xfId="0" applyFont="1" applyFill="1" applyAlignment="1">
      <alignment horizontal="center"/>
    </xf>
    <xf numFmtId="0" fontId="2" fillId="61" borderId="33" xfId="55" applyFont="1" applyFill="1" applyBorder="1" applyAlignment="1">
      <alignment horizontal="center" vertical="top" wrapText="1"/>
      <protection/>
    </xf>
    <xf numFmtId="0" fontId="2" fillId="61" borderId="28" xfId="55" applyFont="1" applyFill="1" applyBorder="1" applyAlignment="1">
      <alignment horizontal="center" vertical="top" wrapText="1"/>
      <protection/>
    </xf>
    <xf numFmtId="0" fontId="6" fillId="62" borderId="34" xfId="55" applyFont="1" applyFill="1" applyBorder="1" applyAlignment="1">
      <alignment horizontal="center" vertical="top" wrapText="1"/>
      <protection/>
    </xf>
    <xf numFmtId="0" fontId="5" fillId="62" borderId="34" xfId="55" applyFont="1" applyFill="1" applyBorder="1" applyAlignment="1">
      <alignment horizontal="center"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2.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5">
    <cacheField name="Cost Category">
      <sharedItems containsMixedTypes="0" count="3">
        <s v="Career Services"/>
        <s v="Infrastructure Costs"/>
        <s v="Shared Services"/>
      </sharedItems>
    </cacheField>
    <cacheField name="Cost Pool">
      <sharedItems containsMixedTypes="0"/>
    </cacheField>
    <cacheField name="Cost Item">
      <sharedItems containsMixedTypes="0"/>
    </cacheField>
    <cacheField name="Allocation Base">
      <sharedItems containsMixedTypes="0" count="5">
        <s v="Customers Served"/>
        <s v="FTE"/>
        <s v="Number of Internet Connections"/>
        <s v="Number of Telephone Lines"/>
        <s v="Square Footage"/>
      </sharedItems>
    </cacheField>
    <cacheField name="Cost">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Table3"/>
  </cacheSource>
  <cacheFields count="7">
    <cacheField name="Location">
      <sharedItems containsBlank="1" containsMixedTypes="0" count="11">
        <s v="Neverland"/>
        <s v="Oz"/>
        <s v="Atlantis"/>
        <s v="Pandora"/>
        <m/>
        <s v="Fayettevill"/>
        <s v="Decherd"/>
        <s v="Tullahoma"/>
        <s v="McMinn"/>
        <s v="Admin/Tull"/>
        <s v="Shelbyville"/>
      </sharedItems>
    </cacheField>
    <cacheField name="Partner">
      <sharedItems containsBlank="1" containsMixedTypes="0" count="17">
        <s v="WIOA"/>
        <s v="RESEA"/>
        <s v="SNAP"/>
        <s v="TAA"/>
        <s v="Vets"/>
        <s v="VocRehab"/>
        <s v="Wagner Peyser"/>
        <s v="ALC"/>
        <m/>
        <s v="VR"/>
        <s v="Job Corps"/>
        <s v="Parole"/>
        <s v="AE"/>
        <s v="CSPED"/>
        <s v="DHS"/>
        <s v="TANF"/>
        <s v="Housing"/>
      </sharedItems>
    </cacheField>
    <cacheField name="Cost Category">
      <sharedItems containsBlank="1" containsMixedTypes="0" count="6">
        <s v="Shared Direct"/>
        <s v="Infrastructure Costs"/>
        <s v="Non-Shared Direct"/>
        <s v="Additional Costs"/>
        <m/>
        <s v="Additional Cost"/>
      </sharedItems>
    </cacheField>
    <cacheField name="Cost Pool">
      <sharedItems containsMixedTypes="0" count="12">
        <s v="Travel"/>
        <s v="Equipment Rentals &amp; Insurance"/>
        <s v="Supplies &amp; Materials"/>
        <s v="Salaries"/>
        <s v="Benefits"/>
        <s v="Rent"/>
        <s v="Phone &amp; Internet"/>
        <s v="Prof Svcs &amp; 3rd Party"/>
        <s v="Prof Svcs State"/>
        <s v="Prof. Svcs State"/>
        <s v="Indirect"/>
        <s v="Training"/>
      </sharedItems>
    </cacheField>
    <cacheField name="Cost Item">
      <sharedItems containsMixedTypes="0" count="13">
        <s v="WIOA Staff"/>
        <s v="Computer Upgrades"/>
        <s v="Supplies"/>
        <s v="Building Rent"/>
        <s v="Phone &amp; Internet"/>
        <s v="RESEA Staff"/>
        <s v="SNAP Staff"/>
        <s v="TAA Staff"/>
        <s v="VETS Staff"/>
        <s v="VocRehab Staff"/>
        <s v="Rent"/>
        <s v="WP Staff"/>
        <s v="OSO"/>
      </sharedItems>
    </cacheField>
    <cacheField name="Allocation Base">
      <sharedItems containsBlank="1" containsMixedTypes="0" count="12">
        <s v="Shared Direct"/>
        <s v="Square Footage"/>
        <s v="FTE"/>
        <s v="Direct"/>
        <m/>
        <s v="Shared "/>
        <s v="Shared-Direct"/>
        <s v="Customers Served"/>
        <s v="Shared"/>
        <s v="Number of Telephone Lines"/>
        <s v="TOTAL"/>
        <s v="Number of Internet Ports"/>
      </sharedItems>
    </cacheField>
    <cacheField name="Cost">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1:B16" firstHeaderRow="1" firstDataRow="1" firstDataCol="1"/>
  <pivotFields count="5">
    <pivotField axis="axisRow" showAll="0">
      <items count="4">
        <item x="0"/>
        <item x="1"/>
        <item x="2"/>
        <item t="default"/>
      </items>
    </pivotField>
    <pivotField showAll="0"/>
    <pivotField showAll="0"/>
    <pivotField axis="axisRow" showAll="0">
      <items count="6">
        <item x="0"/>
        <item x="1"/>
        <item x="2"/>
        <item x="3"/>
        <item x="4"/>
        <item t="default"/>
      </items>
    </pivotField>
    <pivotField dataField="1" showAll="0" numFmtId="44"/>
  </pivotFields>
  <rowFields count="2">
    <field x="3"/>
    <field x="0"/>
  </rowFields>
  <rowItems count="15">
    <i>
      <x/>
    </i>
    <i r="1">
      <x/>
    </i>
    <i r="1">
      <x v="1"/>
    </i>
    <i r="1">
      <x v="2"/>
    </i>
    <i>
      <x v="1"/>
    </i>
    <i r="1">
      <x v="1"/>
    </i>
    <i r="1">
      <x v="2"/>
    </i>
    <i>
      <x v="2"/>
    </i>
    <i r="1">
      <x v="1"/>
    </i>
    <i>
      <x v="3"/>
    </i>
    <i r="1">
      <x v="1"/>
    </i>
    <i>
      <x v="4"/>
    </i>
    <i r="1">
      <x v="1"/>
    </i>
    <i r="1">
      <x v="2"/>
    </i>
    <i t="grand">
      <x/>
    </i>
  </rowItems>
  <colItems count="1">
    <i/>
  </colItems>
  <dataFields count="1">
    <dataField name=" Cost" fld="4" baseField="3" baseItem="0" numFmtId="44"/>
  </dataFields>
  <pivotTableStyleInfo name="PivotStyleMedium3"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30" firstHeaderRow="1" firstDataRow="1" firstDataCol="1"/>
  <pivotFields count="7">
    <pivotField axis="axisRow" showAll="0">
      <items count="12">
        <item m="1" x="9"/>
        <item m="1" x="6"/>
        <item m="1" x="5"/>
        <item m="1" x="8"/>
        <item m="1" x="10"/>
        <item m="1" x="7"/>
        <item m="1" x="4"/>
        <item x="0"/>
        <item x="1"/>
        <item x="2"/>
        <item x="3"/>
        <item t="default"/>
      </items>
    </pivotField>
    <pivotField showAll="0"/>
    <pivotField axis="axisRow" showAll="0">
      <items count="7">
        <item x="3"/>
        <item x="1"/>
        <item x="2"/>
        <item x="0"/>
        <item h="1" m="1" x="4"/>
        <item h="1" m="1" x="5"/>
        <item t="default"/>
      </items>
    </pivotField>
    <pivotField showAll="0"/>
    <pivotField showAll="0"/>
    <pivotField axis="axisRow" showAll="0">
      <items count="13">
        <item m="1" x="7"/>
        <item x="3"/>
        <item x="2"/>
        <item m="1" x="11"/>
        <item m="1" x="9"/>
        <item m="1" x="8"/>
        <item m="1" x="5"/>
        <item x="0"/>
        <item m="1" x="6"/>
        <item x="1"/>
        <item m="1" x="10"/>
        <item m="1" x="4"/>
        <item t="default"/>
      </items>
    </pivotField>
    <pivotField dataField="1" showAll="0" numFmtId="44"/>
  </pivotFields>
  <rowFields count="3">
    <field x="5"/>
    <field x="2"/>
    <field x="0"/>
  </rowFields>
  <rowItems count="27">
    <i>
      <x v="1"/>
    </i>
    <i r="1">
      <x v="2"/>
    </i>
    <i r="2">
      <x v="10"/>
    </i>
    <i>
      <x v="2"/>
    </i>
    <i r="1">
      <x/>
    </i>
    <i r="2">
      <x v="7"/>
    </i>
    <i r="2">
      <x v="8"/>
    </i>
    <i r="2">
      <x v="9"/>
    </i>
    <i r="2">
      <x v="10"/>
    </i>
    <i r="1">
      <x v="1"/>
    </i>
    <i r="2">
      <x v="7"/>
    </i>
    <i r="2">
      <x v="8"/>
    </i>
    <i r="2">
      <x v="9"/>
    </i>
    <i r="2">
      <x v="10"/>
    </i>
    <i>
      <x v="7"/>
    </i>
    <i r="1">
      <x v="3"/>
    </i>
    <i r="2">
      <x v="7"/>
    </i>
    <i r="2">
      <x v="8"/>
    </i>
    <i r="2">
      <x v="9"/>
    </i>
    <i r="2">
      <x v="10"/>
    </i>
    <i>
      <x v="9"/>
    </i>
    <i r="1">
      <x v="1"/>
    </i>
    <i r="2">
      <x v="7"/>
    </i>
    <i r="2">
      <x v="8"/>
    </i>
    <i r="2">
      <x v="9"/>
    </i>
    <i r="2">
      <x v="10"/>
    </i>
    <i t="grand">
      <x/>
    </i>
  </rowItems>
  <colItems count="1">
    <i/>
  </colItems>
  <dataFields count="1">
    <dataField name=" Cost" fld="6" baseField="5" baseItem="0" numFmtId="44"/>
  </dataFields>
  <pivotTableStyleInfo name="PivotStyleMedium5"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D20" firstHeaderRow="1" firstDataRow="2" firstDataCol="1"/>
  <pivotFields count="7">
    <pivotField axis="axisRow" showAll="0">
      <items count="12">
        <item m="1" x="9"/>
        <item m="1" x="6"/>
        <item m="1" x="5"/>
        <item m="1" x="8"/>
        <item m="1" x="10"/>
        <item m="1" x="7"/>
        <item m="1" x="4"/>
        <item x="0"/>
        <item x="1"/>
        <item x="2"/>
        <item x="3"/>
        <item t="default"/>
      </items>
    </pivotField>
    <pivotField axis="axisRow" showAll="0">
      <items count="18">
        <item m="1" x="12"/>
        <item m="1" x="7"/>
        <item m="1" x="13"/>
        <item m="1" x="14"/>
        <item m="1" x="16"/>
        <item m="1" x="10"/>
        <item m="1" x="11"/>
        <item x="1"/>
        <item x="2"/>
        <item x="3"/>
        <item m="1" x="15"/>
        <item x="4"/>
        <item m="1" x="9"/>
        <item x="6"/>
        <item x="0"/>
        <item m="1" x="8"/>
        <item x="5"/>
        <item t="default"/>
      </items>
    </pivotField>
    <pivotField showAll="0"/>
    <pivotField showAll="0"/>
    <pivotField showAll="0"/>
    <pivotField axis="axisCol" showAll="0">
      <items count="13">
        <item h="1" m="1" x="7"/>
        <item x="3"/>
        <item h="1" x="2"/>
        <item h="1" m="1" x="11"/>
        <item h="1" m="1" x="9"/>
        <item h="1" m="1" x="6"/>
        <item h="1" x="1"/>
        <item h="1" m="1" x="4"/>
        <item h="1" m="1" x="10"/>
        <item h="1" m="1" x="8"/>
        <item h="1" m="1" x="5"/>
        <item x="0"/>
        <item t="default"/>
      </items>
    </pivotField>
    <pivotField dataField="1" showAll="0" numFmtId="44"/>
  </pivotFields>
  <rowFields count="2">
    <field x="0"/>
    <field x="1"/>
  </rowFields>
  <rowItems count="16">
    <i>
      <x v="7"/>
    </i>
    <i r="1">
      <x v="14"/>
    </i>
    <i>
      <x v="8"/>
    </i>
    <i r="1">
      <x v="7"/>
    </i>
    <i r="1">
      <x v="14"/>
    </i>
    <i>
      <x v="9"/>
    </i>
    <i r="1">
      <x v="14"/>
    </i>
    <i>
      <x v="10"/>
    </i>
    <i r="1">
      <x v="7"/>
    </i>
    <i r="1">
      <x v="8"/>
    </i>
    <i r="1">
      <x v="9"/>
    </i>
    <i r="1">
      <x v="11"/>
    </i>
    <i r="1">
      <x v="13"/>
    </i>
    <i r="1">
      <x v="14"/>
    </i>
    <i r="1">
      <x v="16"/>
    </i>
    <i t="grand">
      <x/>
    </i>
  </rowItems>
  <colFields count="1">
    <field x="5"/>
  </colFields>
  <colItems count="3">
    <i>
      <x v="1"/>
    </i>
    <i>
      <x v="11"/>
    </i>
    <i t="grand">
      <x/>
    </i>
  </colItems>
  <dataFields count="1">
    <dataField name=" Cost" fld="6" baseField="1" baseItem="0" numFmtId="44"/>
  </dataFields>
  <pivotTableStyleInfo name="PivotStyleMedium7" showRowHeaders="1" showColHeaders="1" showRowStripes="0" showColStripes="0" showLastColumn="1"/>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28:H77" firstHeaderRow="1" firstDataRow="2" firstDataCol="3"/>
  <pivotFields count="7">
    <pivotField axis="axisCol" compact="0" outline="0" showAll="0">
      <items count="12">
        <item m="1" x="9"/>
        <item x="2"/>
        <item m="1" x="6"/>
        <item m="1" x="5"/>
        <item m="1" x="8"/>
        <item x="0"/>
        <item x="1"/>
        <item x="3"/>
        <item m="1" x="10"/>
        <item m="1" x="7"/>
        <item m="1" x="4"/>
        <item t="default"/>
      </items>
    </pivotField>
    <pivotField compact="0" outline="0" showAll="0"/>
    <pivotField axis="axisRow" compact="0" outline="0" showAll="0">
      <items count="7">
        <item m="1" x="5"/>
        <item x="3"/>
        <item x="1"/>
        <item x="2"/>
        <item x="0"/>
        <item m="1" x="4"/>
        <item t="default"/>
      </items>
    </pivotField>
    <pivotField axis="axisRow" compact="0" outline="0" showAll="0" defaultSubtotal="0">
      <items count="12">
        <item x="4"/>
        <item x="1"/>
        <item x="10"/>
        <item x="6"/>
        <item x="7"/>
        <item x="8"/>
        <item x="9"/>
        <item x="5"/>
        <item x="3"/>
        <item x="2"/>
        <item x="11"/>
        <item x="0"/>
      </items>
    </pivotField>
    <pivotField axis="axisRow" compact="0" outline="0" showAll="0">
      <items count="14">
        <item x="3"/>
        <item x="1"/>
        <item x="12"/>
        <item x="4"/>
        <item x="10"/>
        <item x="5"/>
        <item x="6"/>
        <item x="2"/>
        <item x="7"/>
        <item x="8"/>
        <item x="9"/>
        <item x="0"/>
        <item x="11"/>
        <item t="default"/>
      </items>
    </pivotField>
    <pivotField compact="0" outline="0" showAll="0"/>
    <pivotField dataField="1" compact="0" outline="0" showAll="0"/>
  </pivotFields>
  <rowFields count="3">
    <field x="2"/>
    <field x="3"/>
    <field x="4"/>
  </rowFields>
  <rowItems count="48">
    <i>
      <x v="1"/>
      <x v="2"/>
      <x v="2"/>
    </i>
    <i r="1">
      <x v="8"/>
      <x v="2"/>
    </i>
    <i t="default">
      <x v="1"/>
    </i>
    <i>
      <x v="2"/>
      <x v="1"/>
      <x v="1"/>
    </i>
    <i r="2">
      <x v="11"/>
    </i>
    <i r="1">
      <x v="3"/>
      <x v="3"/>
    </i>
    <i r="2">
      <x v="11"/>
    </i>
    <i r="1">
      <x v="7"/>
      <x/>
    </i>
    <i r="2">
      <x v="4"/>
    </i>
    <i r="2">
      <x v="11"/>
    </i>
    <i r="1">
      <x v="9"/>
      <x v="7"/>
    </i>
    <i r="2">
      <x v="12"/>
    </i>
    <i t="default">
      <x v="2"/>
    </i>
    <i>
      <x v="3"/>
      <x v="1"/>
      <x v="10"/>
    </i>
    <i r="1">
      <x v="4"/>
      <x v="5"/>
    </i>
    <i r="2">
      <x v="9"/>
    </i>
    <i r="2">
      <x v="12"/>
    </i>
    <i r="1">
      <x v="5"/>
      <x v="5"/>
    </i>
    <i r="2">
      <x v="9"/>
    </i>
    <i r="1">
      <x v="6"/>
      <x v="5"/>
    </i>
    <i r="2">
      <x v="9"/>
    </i>
    <i r="2">
      <x v="12"/>
    </i>
    <i r="1">
      <x v="10"/>
      <x v="12"/>
    </i>
    <i t="default">
      <x v="3"/>
    </i>
    <i>
      <x v="4"/>
      <x/>
      <x v="5"/>
    </i>
    <i r="2">
      <x v="6"/>
    </i>
    <i r="2">
      <x v="8"/>
    </i>
    <i r="2">
      <x v="9"/>
    </i>
    <i r="2">
      <x v="10"/>
    </i>
    <i r="2">
      <x v="11"/>
    </i>
    <i r="2">
      <x v="12"/>
    </i>
    <i r="1">
      <x v="2"/>
      <x v="5"/>
    </i>
    <i r="2">
      <x v="6"/>
    </i>
    <i r="2">
      <x v="8"/>
    </i>
    <i r="2">
      <x v="9"/>
    </i>
    <i r="2">
      <x v="12"/>
    </i>
    <i r="1">
      <x v="8"/>
      <x v="5"/>
    </i>
    <i r="2">
      <x v="6"/>
    </i>
    <i r="2">
      <x v="8"/>
    </i>
    <i r="2">
      <x v="9"/>
    </i>
    <i r="2">
      <x v="10"/>
    </i>
    <i r="2">
      <x v="11"/>
    </i>
    <i r="2">
      <x v="12"/>
    </i>
    <i r="1">
      <x v="11"/>
      <x v="9"/>
    </i>
    <i r="2">
      <x v="11"/>
    </i>
    <i r="2">
      <x v="12"/>
    </i>
    <i t="default">
      <x v="4"/>
    </i>
    <i t="grand">
      <x/>
    </i>
  </rowItems>
  <colFields count="1">
    <field x="0"/>
  </colFields>
  <colItems count="5">
    <i>
      <x v="1"/>
    </i>
    <i>
      <x v="5"/>
    </i>
    <i>
      <x v="6"/>
    </i>
    <i>
      <x v="7"/>
    </i>
    <i t="grand">
      <x/>
    </i>
  </colItems>
  <dataFields count="1">
    <dataField name="Sum of Cost" fld="6" baseField="2" baseItem="1" numFmtId="5"/>
  </dataFields>
  <pivotTableStyleInfo name="PivotStyleMedium13" showRowHeaders="1" showColHeaders="1" showRowStripes="0" showColStripes="0" showLastColumn="1"/>
</pivotTableDefinition>
</file>

<file path=xl/tables/table1.xml><?xml version="1.0" encoding="utf-8"?>
<table xmlns="http://schemas.openxmlformats.org/spreadsheetml/2006/main" id="3" name="Table3" displayName="Table3" ref="A4:G77" comment="" totalsRowShown="0">
  <autoFilter ref="A4:G77"/>
  <tableColumns count="7">
    <tableColumn id="1" name="Location"/>
    <tableColumn id="2" name="Partner"/>
    <tableColumn id="3" name="Cost Category"/>
    <tableColumn id="4" name="Cost Pool"/>
    <tableColumn id="5" name="Cost Item"/>
    <tableColumn id="6" name="Allocation Base"/>
    <tableColumn id="7" name="Cos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ivotTable" Target="../pivotTables/pivotTable3.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pivotTable" Target="../pivotTables/pivotTable4.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2">
      <pane ySplit="3" topLeftCell="A5" activePane="bottomLeft" state="frozen"/>
      <selection pane="topLeft" activeCell="A2" sqref="A2"/>
      <selection pane="bottomLeft" activeCell="A18" sqref="A18:B26"/>
    </sheetView>
  </sheetViews>
  <sheetFormatPr defaultColWidth="9.140625" defaultRowHeight="15"/>
  <cols>
    <col min="1" max="1" width="44.421875" style="46" bestFit="1" customWidth="1"/>
    <col min="2" max="2" width="32.8515625" style="46" customWidth="1"/>
    <col min="3" max="3" width="40.00390625" style="46" customWidth="1"/>
    <col min="4" max="4" width="11.57421875" style="46" customWidth="1"/>
    <col min="5" max="5" width="11.7109375" style="46" customWidth="1"/>
    <col min="6" max="6" width="11.8515625" style="46" customWidth="1"/>
    <col min="7" max="7" width="11.7109375" style="46" customWidth="1"/>
    <col min="8" max="16384" width="9.140625" style="46" customWidth="1"/>
  </cols>
  <sheetData>
    <row r="1" spans="1:3" ht="15">
      <c r="A1" s="253" t="s">
        <v>49</v>
      </c>
      <c r="B1" s="253"/>
      <c r="C1" s="253"/>
    </row>
    <row r="2" spans="1:3" ht="15">
      <c r="A2" s="76"/>
      <c r="B2" s="76"/>
      <c r="C2" s="76"/>
    </row>
    <row r="3" spans="1:7" ht="16.5" customHeight="1">
      <c r="A3" s="251" t="s">
        <v>9</v>
      </c>
      <c r="B3" s="251" t="s">
        <v>96</v>
      </c>
      <c r="C3" s="251" t="s">
        <v>97</v>
      </c>
      <c r="D3" s="251" t="s">
        <v>152</v>
      </c>
      <c r="E3" s="251" t="s">
        <v>149</v>
      </c>
      <c r="F3" s="251" t="s">
        <v>150</v>
      </c>
      <c r="G3" s="251" t="s">
        <v>151</v>
      </c>
    </row>
    <row r="4" spans="1:7" ht="29.25" customHeight="1">
      <c r="A4" s="252"/>
      <c r="B4" s="252"/>
      <c r="C4" s="252"/>
      <c r="D4" s="252"/>
      <c r="E4" s="252"/>
      <c r="F4" s="252"/>
      <c r="G4" s="252"/>
    </row>
    <row r="5" spans="1:7" ht="15" customHeight="1">
      <c r="A5" s="47" t="s">
        <v>98</v>
      </c>
      <c r="B5" s="47" t="s">
        <v>98</v>
      </c>
      <c r="C5" s="47" t="s">
        <v>135</v>
      </c>
      <c r="D5" s="47" t="s">
        <v>134</v>
      </c>
      <c r="E5" s="47" t="s">
        <v>134</v>
      </c>
      <c r="F5" s="47" t="s">
        <v>134</v>
      </c>
      <c r="G5" s="47" t="s">
        <v>134</v>
      </c>
    </row>
    <row r="6" spans="1:7" ht="15" customHeight="1">
      <c r="A6" s="48" t="s">
        <v>80</v>
      </c>
      <c r="B6" s="48" t="s">
        <v>81</v>
      </c>
      <c r="C6" s="48" t="s">
        <v>99</v>
      </c>
      <c r="D6" s="48" t="s">
        <v>136</v>
      </c>
      <c r="E6" s="48" t="s">
        <v>134</v>
      </c>
      <c r="F6" s="48" t="s">
        <v>134</v>
      </c>
      <c r="G6" s="48" t="s">
        <v>134</v>
      </c>
    </row>
    <row r="7" spans="1:7" ht="30" customHeight="1">
      <c r="A7" s="48" t="s">
        <v>82</v>
      </c>
      <c r="B7" s="48" t="s">
        <v>101</v>
      </c>
      <c r="C7" s="48" t="s">
        <v>102</v>
      </c>
      <c r="D7" s="48" t="s">
        <v>136</v>
      </c>
      <c r="E7" s="48" t="s">
        <v>134</v>
      </c>
      <c r="F7" s="48" t="s">
        <v>134</v>
      </c>
      <c r="G7" s="48" t="s">
        <v>134</v>
      </c>
    </row>
    <row r="8" spans="1:7" ht="30" customHeight="1">
      <c r="A8" s="48" t="s">
        <v>76</v>
      </c>
      <c r="B8" s="48" t="s">
        <v>103</v>
      </c>
      <c r="C8" s="48" t="s">
        <v>104</v>
      </c>
      <c r="D8" s="48" t="s">
        <v>134</v>
      </c>
      <c r="E8" s="48" t="s">
        <v>134</v>
      </c>
      <c r="F8" s="48" t="s">
        <v>134</v>
      </c>
      <c r="G8" s="48" t="s">
        <v>136</v>
      </c>
    </row>
    <row r="9" spans="1:7" ht="15">
      <c r="A9" s="48" t="s">
        <v>105</v>
      </c>
      <c r="B9" s="48" t="s">
        <v>105</v>
      </c>
      <c r="C9" s="48" t="s">
        <v>106</v>
      </c>
      <c r="D9" s="48" t="s">
        <v>134</v>
      </c>
      <c r="E9" s="48" t="s">
        <v>134</v>
      </c>
      <c r="F9" s="48" t="s">
        <v>134</v>
      </c>
      <c r="G9" s="48" t="s">
        <v>134</v>
      </c>
    </row>
    <row r="10" spans="1:7" ht="30" customHeight="1">
      <c r="A10" s="47" t="s">
        <v>95</v>
      </c>
      <c r="B10" s="47" t="s">
        <v>139</v>
      </c>
      <c r="C10" s="47" t="s">
        <v>107</v>
      </c>
      <c r="D10" s="47" t="s">
        <v>136</v>
      </c>
      <c r="E10" s="47" t="s">
        <v>134</v>
      </c>
      <c r="F10" s="47" t="s">
        <v>134</v>
      </c>
      <c r="G10" s="47" t="s">
        <v>134</v>
      </c>
    </row>
    <row r="11" spans="1:7" ht="30" customHeight="1">
      <c r="A11" s="47" t="s">
        <v>108</v>
      </c>
      <c r="B11" s="47" t="s">
        <v>100</v>
      </c>
      <c r="C11" s="47" t="s">
        <v>109</v>
      </c>
      <c r="D11" s="47" t="s">
        <v>134</v>
      </c>
      <c r="E11" s="47" t="s">
        <v>134</v>
      </c>
      <c r="F11" s="47" t="s">
        <v>134</v>
      </c>
      <c r="G11" s="47" t="s">
        <v>134</v>
      </c>
    </row>
    <row r="12" spans="1:7" ht="30" customHeight="1">
      <c r="A12" s="48" t="s">
        <v>77</v>
      </c>
      <c r="B12" s="48" t="s">
        <v>110</v>
      </c>
      <c r="C12" s="48" t="s">
        <v>111</v>
      </c>
      <c r="D12" s="48" t="s">
        <v>136</v>
      </c>
      <c r="E12" s="48" t="s">
        <v>134</v>
      </c>
      <c r="F12" s="48" t="s">
        <v>134</v>
      </c>
      <c r="G12" s="48" t="s">
        <v>134</v>
      </c>
    </row>
    <row r="13" spans="1:7" ht="30" customHeight="1">
      <c r="A13" s="47" t="s">
        <v>112</v>
      </c>
      <c r="B13" s="47" t="s">
        <v>139</v>
      </c>
      <c r="C13" s="47" t="s">
        <v>113</v>
      </c>
      <c r="D13" s="75" t="s">
        <v>134</v>
      </c>
      <c r="E13" s="75" t="s">
        <v>134</v>
      </c>
      <c r="F13" s="75" t="s">
        <v>134</v>
      </c>
      <c r="G13" s="75" t="s">
        <v>134</v>
      </c>
    </row>
    <row r="14" spans="1:7" ht="45" customHeight="1">
      <c r="A14" s="48" t="s">
        <v>114</v>
      </c>
      <c r="B14" s="47" t="s">
        <v>139</v>
      </c>
      <c r="C14" s="49" t="s">
        <v>118</v>
      </c>
      <c r="D14" s="48" t="s">
        <v>136</v>
      </c>
      <c r="E14" s="48" t="s">
        <v>134</v>
      </c>
      <c r="F14" s="48" t="s">
        <v>134</v>
      </c>
      <c r="G14" s="48" t="s">
        <v>134</v>
      </c>
    </row>
    <row r="15" spans="1:7" ht="30">
      <c r="A15" s="47" t="s">
        <v>115</v>
      </c>
      <c r="B15" s="47" t="s">
        <v>116</v>
      </c>
      <c r="C15" s="47" t="s">
        <v>117</v>
      </c>
      <c r="D15" s="47" t="s">
        <v>136</v>
      </c>
      <c r="E15" s="47" t="s">
        <v>136</v>
      </c>
      <c r="F15" s="47" t="s">
        <v>136</v>
      </c>
      <c r="G15" s="47" t="s">
        <v>136</v>
      </c>
    </row>
    <row r="17" spans="4:6" ht="15">
      <c r="D17" s="206"/>
      <c r="E17" s="206"/>
      <c r="F17" s="206"/>
    </row>
    <row r="18" spans="1:6" ht="15" customHeight="1">
      <c r="A18" s="250" t="s">
        <v>155</v>
      </c>
      <c r="B18" s="250"/>
      <c r="D18" s="207"/>
      <c r="E18" s="206"/>
      <c r="F18" s="206"/>
    </row>
    <row r="19" spans="1:6" ht="15">
      <c r="A19" s="250"/>
      <c r="B19" s="250"/>
      <c r="D19" s="206"/>
      <c r="E19" s="206"/>
      <c r="F19" s="206"/>
    </row>
    <row r="20" spans="1:6" ht="15">
      <c r="A20" s="250"/>
      <c r="B20" s="250"/>
      <c r="D20" s="206"/>
      <c r="E20" s="206"/>
      <c r="F20" s="206"/>
    </row>
    <row r="21" spans="1:6" ht="15">
      <c r="A21" s="250"/>
      <c r="B21" s="250"/>
      <c r="D21" s="206"/>
      <c r="E21" s="206"/>
      <c r="F21" s="206"/>
    </row>
    <row r="22" spans="1:2" ht="15">
      <c r="A22" s="250"/>
      <c r="B22" s="250"/>
    </row>
    <row r="23" spans="1:2" ht="15">
      <c r="A23" s="250"/>
      <c r="B23" s="250"/>
    </row>
    <row r="24" spans="1:2" ht="15">
      <c r="A24" s="250"/>
      <c r="B24" s="250"/>
    </row>
    <row r="25" spans="1:2" ht="15">
      <c r="A25" s="250"/>
      <c r="B25" s="250"/>
    </row>
    <row r="26" spans="1:2" ht="15">
      <c r="A26" s="250"/>
      <c r="B26" s="250"/>
    </row>
  </sheetData>
  <sheetProtection/>
  <mergeCells count="9">
    <mergeCell ref="A18:B26"/>
    <mergeCell ref="E3:E4"/>
    <mergeCell ref="F3:F4"/>
    <mergeCell ref="G3:G4"/>
    <mergeCell ref="A1:C1"/>
    <mergeCell ref="A3:A4"/>
    <mergeCell ref="B3:B4"/>
    <mergeCell ref="C3:C4"/>
    <mergeCell ref="D3:D4"/>
  </mergeCells>
  <printOptions/>
  <pageMargins left="0" right="0" top="0" bottom="0" header="0" footer="0"/>
  <pageSetup fitToHeight="1" fitToWidth="1" horizontalDpi="600" verticalDpi="600" orientation="landscape" scale="57" r:id="rId1"/>
</worksheet>
</file>

<file path=xl/worksheets/sheet10.xml><?xml version="1.0" encoding="utf-8"?>
<worksheet xmlns="http://schemas.openxmlformats.org/spreadsheetml/2006/main" xmlns:r="http://schemas.openxmlformats.org/officeDocument/2006/relationships">
  <sheetPr>
    <tabColor theme="5" tint="0.5999900102615356"/>
    <pageSetUpPr fitToPage="1"/>
  </sheetPr>
  <dimension ref="A2:J26"/>
  <sheetViews>
    <sheetView zoomScalePageLayoutView="0" workbookViewId="0" topLeftCell="A1">
      <selection activeCell="B12" sqref="B12"/>
    </sheetView>
  </sheetViews>
  <sheetFormatPr defaultColWidth="9.140625" defaultRowHeight="15"/>
  <cols>
    <col min="1" max="1" width="44.421875" style="0" bestFit="1" customWidth="1"/>
    <col min="2" max="2" width="20.7109375" style="0" bestFit="1" customWidth="1"/>
    <col min="3" max="3" width="19.28125" style="0" customWidth="1"/>
    <col min="4" max="4" width="16.57421875" style="0" customWidth="1"/>
    <col min="6" max="6" width="18.57421875" style="0" bestFit="1" customWidth="1"/>
    <col min="7" max="7" width="15.140625" style="0" bestFit="1" customWidth="1"/>
    <col min="8" max="8" width="14.7109375" style="0" bestFit="1" customWidth="1"/>
    <col min="9" max="9" width="12.7109375" style="0" bestFit="1" customWidth="1"/>
  </cols>
  <sheetData>
    <row r="2" spans="1:9" ht="29.25">
      <c r="A2" s="309" t="s">
        <v>45</v>
      </c>
      <c r="B2" s="309"/>
      <c r="C2" s="309"/>
      <c r="D2" s="309"/>
      <c r="E2" s="309"/>
      <c r="F2" s="309"/>
      <c r="G2" s="309"/>
      <c r="H2" s="309"/>
      <c r="I2" s="309"/>
    </row>
    <row r="3" spans="1:9" ht="26.25">
      <c r="A3" s="304" t="s">
        <v>2</v>
      </c>
      <c r="B3" s="304"/>
      <c r="C3" s="304"/>
      <c r="D3" s="304"/>
      <c r="E3" s="304"/>
      <c r="F3" s="304"/>
      <c r="G3" s="304"/>
      <c r="H3" s="304"/>
      <c r="I3" s="304"/>
    </row>
    <row r="4" spans="1:9" ht="16.5" customHeight="1">
      <c r="A4" s="310" t="s">
        <v>6</v>
      </c>
      <c r="B4" s="312" t="s">
        <v>41</v>
      </c>
      <c r="C4" s="312" t="s">
        <v>42</v>
      </c>
      <c r="D4" s="312" t="s">
        <v>43</v>
      </c>
      <c r="E4" s="7"/>
      <c r="F4" s="314" t="s">
        <v>44</v>
      </c>
      <c r="G4" s="315"/>
      <c r="H4" s="315"/>
      <c r="I4" s="315"/>
    </row>
    <row r="5" spans="1:9" ht="16.5" customHeight="1">
      <c r="A5" s="311"/>
      <c r="B5" s="313"/>
      <c r="C5" s="313"/>
      <c r="D5" s="313"/>
      <c r="E5" s="8"/>
      <c r="F5" s="28" t="s">
        <v>22</v>
      </c>
      <c r="G5" s="28" t="s">
        <v>75</v>
      </c>
      <c r="H5" s="28" t="s">
        <v>71</v>
      </c>
      <c r="I5" s="28" t="s">
        <v>70</v>
      </c>
    </row>
    <row r="6" spans="1:10" ht="16.5" customHeight="1">
      <c r="A6" s="97" t="str">
        <f>'Office Sharing Payment Ratio'!A5</f>
        <v>SNAP</v>
      </c>
      <c r="B6" s="119"/>
      <c r="C6" s="106" t="e">
        <f aca="true" t="shared" si="0" ref="C6:C16">B6/$B$17</f>
        <v>#DIV/0!</v>
      </c>
      <c r="D6" s="115" t="e">
        <f aca="true" t="shared" si="1" ref="D6:D16">C6*$C$18</f>
        <v>#DIV/0!</v>
      </c>
      <c r="E6" s="101"/>
      <c r="F6" s="115" t="e">
        <f aca="true" t="shared" si="2" ref="F6:F16">D6*$F$20</f>
        <v>#DIV/0!</v>
      </c>
      <c r="G6" s="115" t="e">
        <f aca="true" t="shared" si="3" ref="G6:G16">D6*$G$20</f>
        <v>#DIV/0!</v>
      </c>
      <c r="H6" s="115" t="e">
        <f aca="true" t="shared" si="4" ref="H6:H16">D6*$H$20</f>
        <v>#DIV/0!</v>
      </c>
      <c r="I6" s="102">
        <v>0</v>
      </c>
      <c r="J6" s="284" t="s">
        <v>130</v>
      </c>
    </row>
    <row r="7" spans="1:10" ht="16.5" customHeight="1">
      <c r="A7" s="97" t="str">
        <f>'Office Sharing Payment Ratio'!A6</f>
        <v>RESEA</v>
      </c>
      <c r="B7" s="119"/>
      <c r="C7" s="106" t="e">
        <f t="shared" si="0"/>
        <v>#DIV/0!</v>
      </c>
      <c r="D7" s="115" t="e">
        <f t="shared" si="1"/>
        <v>#DIV/0!</v>
      </c>
      <c r="E7" s="101"/>
      <c r="F7" s="115" t="e">
        <f t="shared" si="2"/>
        <v>#DIV/0!</v>
      </c>
      <c r="G7" s="115" t="e">
        <f t="shared" si="3"/>
        <v>#DIV/0!</v>
      </c>
      <c r="H7" s="115" t="e">
        <f t="shared" si="4"/>
        <v>#DIV/0!</v>
      </c>
      <c r="I7" s="102">
        <v>0</v>
      </c>
      <c r="J7" s="284"/>
    </row>
    <row r="8" spans="1:10" ht="16.5" customHeight="1">
      <c r="A8" s="97" t="str">
        <f>'Office Sharing Payment Ratio'!A7</f>
        <v>VETS</v>
      </c>
      <c r="B8" s="119"/>
      <c r="C8" s="106" t="e">
        <f t="shared" si="0"/>
        <v>#DIV/0!</v>
      </c>
      <c r="D8" s="115" t="e">
        <f t="shared" si="1"/>
        <v>#DIV/0!</v>
      </c>
      <c r="E8" s="101"/>
      <c r="F8" s="115" t="e">
        <f t="shared" si="2"/>
        <v>#DIV/0!</v>
      </c>
      <c r="G8" s="115" t="e">
        <f t="shared" si="3"/>
        <v>#DIV/0!</v>
      </c>
      <c r="H8" s="115" t="e">
        <f t="shared" si="4"/>
        <v>#DIV/0!</v>
      </c>
      <c r="I8" s="102">
        <v>0</v>
      </c>
      <c r="J8" s="284"/>
    </row>
    <row r="9" spans="1:10" ht="16.5" customHeight="1">
      <c r="A9" s="97" t="e">
        <f>'Office Sharing Payment Ratio'!#REF!</f>
        <v>#REF!</v>
      </c>
      <c r="B9" s="119"/>
      <c r="C9" s="106" t="e">
        <f t="shared" si="0"/>
        <v>#DIV/0!</v>
      </c>
      <c r="D9" s="115" t="e">
        <f t="shared" si="1"/>
        <v>#DIV/0!</v>
      </c>
      <c r="E9" s="101"/>
      <c r="F9" s="115" t="e">
        <f t="shared" si="2"/>
        <v>#DIV/0!</v>
      </c>
      <c r="G9" s="115" t="e">
        <f t="shared" si="3"/>
        <v>#DIV/0!</v>
      </c>
      <c r="H9" s="115" t="e">
        <f t="shared" si="4"/>
        <v>#DIV/0!</v>
      </c>
      <c r="I9" s="102">
        <v>0</v>
      </c>
      <c r="J9" s="284"/>
    </row>
    <row r="10" spans="1:10" ht="16.5" customHeight="1">
      <c r="A10" s="97" t="str">
        <f>'Office Sharing Payment Ratio'!A8</f>
        <v>TAA</v>
      </c>
      <c r="B10" s="119"/>
      <c r="C10" s="106" t="e">
        <f t="shared" si="0"/>
        <v>#DIV/0!</v>
      </c>
      <c r="D10" s="115" t="e">
        <f t="shared" si="1"/>
        <v>#DIV/0!</v>
      </c>
      <c r="E10" s="101"/>
      <c r="F10" s="115" t="e">
        <f t="shared" si="2"/>
        <v>#DIV/0!</v>
      </c>
      <c r="G10" s="115" t="e">
        <f t="shared" si="3"/>
        <v>#DIV/0!</v>
      </c>
      <c r="H10" s="115" t="e">
        <f t="shared" si="4"/>
        <v>#DIV/0!</v>
      </c>
      <c r="I10" s="102">
        <v>0</v>
      </c>
      <c r="J10" s="284"/>
    </row>
    <row r="11" spans="1:10" ht="16.5" customHeight="1">
      <c r="A11" s="97" t="str">
        <f>'Office Sharing Payment Ratio'!A9</f>
        <v>Wagner-Peyser Employment Services (ES)</v>
      </c>
      <c r="B11" s="119"/>
      <c r="C11" s="106" t="e">
        <f t="shared" si="0"/>
        <v>#DIV/0!</v>
      </c>
      <c r="D11" s="115" t="e">
        <f t="shared" si="1"/>
        <v>#DIV/0!</v>
      </c>
      <c r="E11" s="101"/>
      <c r="F11" s="115" t="e">
        <f t="shared" si="2"/>
        <v>#DIV/0!</v>
      </c>
      <c r="G11" s="115" t="e">
        <f t="shared" si="3"/>
        <v>#DIV/0!</v>
      </c>
      <c r="H11" s="115" t="e">
        <f t="shared" si="4"/>
        <v>#DIV/0!</v>
      </c>
      <c r="I11" s="102">
        <v>0</v>
      </c>
      <c r="J11" s="284"/>
    </row>
    <row r="12" spans="1:10" ht="16.5" customHeight="1">
      <c r="A12" s="97" t="str">
        <f>'Office Sharing Payment Ratio'!A11</f>
        <v>WIOA Adult, Dislocated Workers, and Youth Programs</v>
      </c>
      <c r="B12" s="119"/>
      <c r="C12" s="106" t="e">
        <f t="shared" si="0"/>
        <v>#DIV/0!</v>
      </c>
      <c r="D12" s="115" t="e">
        <f t="shared" si="1"/>
        <v>#DIV/0!</v>
      </c>
      <c r="E12" s="101"/>
      <c r="F12" s="115" t="e">
        <f t="shared" si="2"/>
        <v>#DIV/0!</v>
      </c>
      <c r="G12" s="115" t="e">
        <f t="shared" si="3"/>
        <v>#DIV/0!</v>
      </c>
      <c r="H12" s="115" t="e">
        <f t="shared" si="4"/>
        <v>#DIV/0!</v>
      </c>
      <c r="I12" s="102">
        <v>0</v>
      </c>
      <c r="J12" s="284"/>
    </row>
    <row r="13" spans="1:10" ht="16.5" customHeight="1">
      <c r="A13" s="77" t="str">
        <f>'Office Sharing Payment Ratio'!A12</f>
        <v>WIOA Adult, Dislocated Workers, and Youth Programs</v>
      </c>
      <c r="B13" s="120"/>
      <c r="C13" s="121" t="e">
        <f t="shared" si="0"/>
        <v>#DIV/0!</v>
      </c>
      <c r="D13" s="122" t="e">
        <f t="shared" si="1"/>
        <v>#DIV/0!</v>
      </c>
      <c r="E13" s="123"/>
      <c r="F13" s="122" t="e">
        <f t="shared" si="2"/>
        <v>#DIV/0!</v>
      </c>
      <c r="G13" s="122" t="e">
        <f t="shared" si="3"/>
        <v>#DIV/0!</v>
      </c>
      <c r="H13" s="122" t="e">
        <f t="shared" si="4"/>
        <v>#DIV/0!</v>
      </c>
      <c r="I13" s="124">
        <v>0</v>
      </c>
      <c r="J13" s="82" t="s">
        <v>133</v>
      </c>
    </row>
    <row r="14" spans="1:10" ht="16.5" customHeight="1">
      <c r="A14" s="83" t="str">
        <f>'Office Sharing Payment Ratio'!A13</f>
        <v>WIOA Adult, Dislocated Workers, and Youth Programs</v>
      </c>
      <c r="B14" s="151"/>
      <c r="C14" s="143" t="e">
        <f t="shared" si="0"/>
        <v>#DIV/0!</v>
      </c>
      <c r="D14" s="148" t="e">
        <f t="shared" si="1"/>
        <v>#DIV/0!</v>
      </c>
      <c r="E14" s="139"/>
      <c r="F14" s="148" t="e">
        <f t="shared" si="2"/>
        <v>#DIV/0!</v>
      </c>
      <c r="G14" s="148" t="e">
        <f t="shared" si="3"/>
        <v>#DIV/0!</v>
      </c>
      <c r="H14" s="148" t="e">
        <f t="shared" si="4"/>
        <v>#DIV/0!</v>
      </c>
      <c r="I14" s="140">
        <v>0</v>
      </c>
      <c r="J14" s="88" t="s">
        <v>128</v>
      </c>
    </row>
    <row r="15" spans="1:10" ht="16.5">
      <c r="A15" s="89" t="str">
        <f>'Office Sharing Payment Ratio'!A14</f>
        <v>WIOA Adult, Dislocated Workers, and Youth Programs</v>
      </c>
      <c r="B15" s="157"/>
      <c r="C15" s="158" t="e">
        <f t="shared" si="0"/>
        <v>#DIV/0!</v>
      </c>
      <c r="D15" s="159" t="e">
        <f t="shared" si="1"/>
        <v>#DIV/0!</v>
      </c>
      <c r="E15" s="160"/>
      <c r="F15" s="159" t="e">
        <f t="shared" si="2"/>
        <v>#DIV/0!</v>
      </c>
      <c r="G15" s="159" t="e">
        <f t="shared" si="3"/>
        <v>#DIV/0!</v>
      </c>
      <c r="H15" s="159" t="e">
        <f t="shared" si="4"/>
        <v>#DIV/0!</v>
      </c>
      <c r="I15" s="161">
        <v>0</v>
      </c>
      <c r="J15" s="94" t="s">
        <v>137</v>
      </c>
    </row>
    <row r="16" spans="1:10" ht="16.5" customHeight="1">
      <c r="A16" s="95" t="e">
        <f>'Office Sharing Payment Ratio'!#REF!</f>
        <v>#REF!</v>
      </c>
      <c r="B16" s="152"/>
      <c r="C16" s="153" t="e">
        <f t="shared" si="0"/>
        <v>#DIV/0!</v>
      </c>
      <c r="D16" s="154" t="e">
        <f t="shared" si="1"/>
        <v>#DIV/0!</v>
      </c>
      <c r="E16" s="155"/>
      <c r="F16" s="154" t="e">
        <f t="shared" si="2"/>
        <v>#DIV/0!</v>
      </c>
      <c r="G16" s="154" t="e">
        <f t="shared" si="3"/>
        <v>#DIV/0!</v>
      </c>
      <c r="H16" s="154" t="e">
        <f t="shared" si="4"/>
        <v>#DIV/0!</v>
      </c>
      <c r="I16" s="156">
        <v>0</v>
      </c>
      <c r="J16" s="96" t="s">
        <v>138</v>
      </c>
    </row>
    <row r="17" spans="1:9" ht="16.5">
      <c r="A17" s="1" t="s">
        <v>5</v>
      </c>
      <c r="B17" s="11">
        <f>SUM(B6:B16)</f>
        <v>0</v>
      </c>
      <c r="C17" s="29" t="e">
        <f>SUM(C6:C16)</f>
        <v>#DIV/0!</v>
      </c>
      <c r="D17" s="27" t="e">
        <f>SUM(D6:D16)</f>
        <v>#DIV/0!</v>
      </c>
      <c r="E17" s="12"/>
      <c r="F17" s="27" t="e">
        <f>SUM(F6:F16)</f>
        <v>#DIV/0!</v>
      </c>
      <c r="G17" s="27" t="e">
        <f>SUM(G6:G16)</f>
        <v>#DIV/0!</v>
      </c>
      <c r="H17" s="27" t="e">
        <f>SUM(H6:H16)</f>
        <v>#DIV/0!</v>
      </c>
      <c r="I17" s="27">
        <f>SUM(I6:I16)</f>
        <v>0</v>
      </c>
    </row>
    <row r="18" ht="15">
      <c r="C18" s="38">
        <v>0</v>
      </c>
    </row>
    <row r="19" spans="1:8" ht="17.25">
      <c r="A19" s="290" t="s">
        <v>46</v>
      </c>
      <c r="B19" s="290"/>
      <c r="C19" s="290"/>
      <c r="D19" s="290"/>
      <c r="E19" s="290"/>
      <c r="F19" s="290"/>
      <c r="G19" s="290"/>
      <c r="H19" s="290"/>
    </row>
    <row r="20" spans="6:8" ht="15">
      <c r="F20" s="41">
        <v>0</v>
      </c>
      <c r="G20" s="41">
        <v>1</v>
      </c>
      <c r="H20" s="41">
        <v>0</v>
      </c>
    </row>
    <row r="21" spans="6:8" ht="15">
      <c r="F21" s="41"/>
      <c r="G21" s="41"/>
      <c r="H21" s="41"/>
    </row>
    <row r="22" spans="6:8" ht="15">
      <c r="F22" s="41"/>
      <c r="G22" s="41"/>
      <c r="H22" s="41"/>
    </row>
    <row r="23" spans="6:8" ht="15">
      <c r="F23" s="41"/>
      <c r="G23" s="41"/>
      <c r="H23" s="41"/>
    </row>
    <row r="24" spans="6:8" ht="15">
      <c r="F24" s="41"/>
      <c r="G24" s="41"/>
      <c r="H24" s="41"/>
    </row>
    <row r="25" spans="6:8" ht="15">
      <c r="F25" s="41"/>
      <c r="G25" s="41"/>
      <c r="H25" s="41"/>
    </row>
    <row r="26" spans="6:8" ht="15">
      <c r="F26" s="41"/>
      <c r="G26" s="41"/>
      <c r="H26" s="41"/>
    </row>
  </sheetData>
  <sheetProtection/>
  <mergeCells count="9">
    <mergeCell ref="J6:J12"/>
    <mergeCell ref="A2:I2"/>
    <mergeCell ref="A3:I3"/>
    <mergeCell ref="A19:H19"/>
    <mergeCell ref="A4:A5"/>
    <mergeCell ref="B4:B5"/>
    <mergeCell ref="C4:C5"/>
    <mergeCell ref="D4:D5"/>
    <mergeCell ref="F4:I4"/>
  </mergeCells>
  <printOptions/>
  <pageMargins left="0.7" right="0.7" top="0.75" bottom="0.75" header="0.3" footer="0.3"/>
  <pageSetup fitToHeight="1" fitToWidth="1" horizontalDpi="600" verticalDpi="600" orientation="landscape" scale="67" r:id="rId1"/>
</worksheet>
</file>

<file path=xl/worksheets/sheet11.xml><?xml version="1.0" encoding="utf-8"?>
<worksheet xmlns="http://schemas.openxmlformats.org/spreadsheetml/2006/main" xmlns:r="http://schemas.openxmlformats.org/officeDocument/2006/relationships">
  <sheetPr>
    <tabColor theme="5" tint="0.5999900102615356"/>
  </sheetPr>
  <dimension ref="A1:D31"/>
  <sheetViews>
    <sheetView zoomScalePageLayoutView="0" workbookViewId="0" topLeftCell="A1">
      <selection activeCell="A23" sqref="A23:D31"/>
    </sheetView>
  </sheetViews>
  <sheetFormatPr defaultColWidth="9.140625" defaultRowHeight="15"/>
  <cols>
    <col min="1" max="1" width="18.140625" style="0" customWidth="1"/>
    <col min="2" max="2" width="16.28125" style="0" customWidth="1"/>
    <col min="3" max="4" width="14.28125" style="0" customWidth="1"/>
    <col min="5" max="5" width="23.7109375" style="0" bestFit="1" customWidth="1"/>
    <col min="6" max="6" width="26.140625" style="0" bestFit="1" customWidth="1"/>
    <col min="7" max="7" width="14.28125" style="0" bestFit="1" customWidth="1"/>
    <col min="8" max="8" width="14.8515625" style="0" bestFit="1" customWidth="1"/>
    <col min="9" max="9" width="14.28125" style="0" bestFit="1" customWidth="1"/>
  </cols>
  <sheetData>
    <row r="1" spans="1:4" ht="15">
      <c r="A1" s="316" t="s">
        <v>125</v>
      </c>
      <c r="B1" s="316"/>
      <c r="C1" s="316"/>
      <c r="D1" s="316"/>
    </row>
    <row r="3" spans="1:2" ht="15">
      <c r="A3" s="42" t="s">
        <v>60</v>
      </c>
      <c r="B3" s="42" t="s">
        <v>124</v>
      </c>
    </row>
    <row r="4" spans="1:4" ht="15">
      <c r="A4" s="42" t="s">
        <v>50</v>
      </c>
      <c r="B4" s="208" t="s">
        <v>72</v>
      </c>
      <c r="C4" s="208" t="s">
        <v>62</v>
      </c>
      <c r="D4" s="208" t="s">
        <v>56</v>
      </c>
    </row>
    <row r="5" spans="1:4" ht="15">
      <c r="A5" s="43" t="s">
        <v>148</v>
      </c>
      <c r="B5" s="214"/>
      <c r="C5" s="214">
        <v>70925</v>
      </c>
      <c r="D5" s="214">
        <v>70925</v>
      </c>
    </row>
    <row r="6" spans="1:4" ht="15">
      <c r="A6" s="44" t="s">
        <v>83</v>
      </c>
      <c r="B6" s="214"/>
      <c r="C6" s="214">
        <v>70925</v>
      </c>
      <c r="D6" s="214">
        <v>70925</v>
      </c>
    </row>
    <row r="7" spans="1:4" ht="15">
      <c r="A7" s="43" t="s">
        <v>147</v>
      </c>
      <c r="B7" s="214"/>
      <c r="C7" s="214">
        <v>183747</v>
      </c>
      <c r="D7" s="214">
        <v>183747</v>
      </c>
    </row>
    <row r="8" spans="1:4" ht="15">
      <c r="A8" s="44" t="s">
        <v>76</v>
      </c>
      <c r="B8" s="214"/>
      <c r="C8" s="214">
        <v>21792</v>
      </c>
      <c r="D8" s="214">
        <v>21792</v>
      </c>
    </row>
    <row r="9" spans="1:4" ht="15">
      <c r="A9" s="44" t="s">
        <v>83</v>
      </c>
      <c r="B9" s="214"/>
      <c r="C9" s="214">
        <v>161955</v>
      </c>
      <c r="D9" s="214">
        <v>161955</v>
      </c>
    </row>
    <row r="10" spans="1:4" ht="15">
      <c r="A10" s="43" t="s">
        <v>145</v>
      </c>
      <c r="B10" s="214"/>
      <c r="C10" s="214">
        <v>162701</v>
      </c>
      <c r="D10" s="214">
        <v>162701</v>
      </c>
    </row>
    <row r="11" spans="1:4" ht="15">
      <c r="A11" s="44" t="s">
        <v>83</v>
      </c>
      <c r="B11" s="214"/>
      <c r="C11" s="214">
        <v>162701</v>
      </c>
      <c r="D11" s="214">
        <v>162701</v>
      </c>
    </row>
    <row r="12" spans="1:4" ht="15">
      <c r="A12" s="43" t="s">
        <v>146</v>
      </c>
      <c r="B12" s="214">
        <v>108404.82</v>
      </c>
      <c r="C12" s="214">
        <v>620150.39</v>
      </c>
      <c r="D12" s="214">
        <v>728555.21</v>
      </c>
    </row>
    <row r="13" spans="1:4" ht="15">
      <c r="A13" s="44" t="s">
        <v>76</v>
      </c>
      <c r="B13" s="214">
        <v>11338.329999999998</v>
      </c>
      <c r="C13" s="214">
        <v>29982.47</v>
      </c>
      <c r="D13" s="214">
        <v>41320.8</v>
      </c>
    </row>
    <row r="14" spans="1:4" ht="15">
      <c r="A14" s="44" t="s">
        <v>80</v>
      </c>
      <c r="B14" s="214"/>
      <c r="C14" s="214">
        <v>13124.289999999999</v>
      </c>
      <c r="D14" s="214">
        <v>13124.289999999999</v>
      </c>
    </row>
    <row r="15" spans="1:4" ht="15">
      <c r="A15" s="44" t="s">
        <v>77</v>
      </c>
      <c r="B15" s="214"/>
      <c r="C15" s="214">
        <v>16132.06</v>
      </c>
      <c r="D15" s="214">
        <v>16132.06</v>
      </c>
    </row>
    <row r="16" spans="1:4" ht="15">
      <c r="A16" s="44" t="s">
        <v>78</v>
      </c>
      <c r="B16" s="214">
        <v>15795.52</v>
      </c>
      <c r="C16" s="214">
        <v>89088.26</v>
      </c>
      <c r="D16" s="214">
        <v>104883.78</v>
      </c>
    </row>
    <row r="17" spans="1:4" ht="15">
      <c r="A17" s="44" t="s">
        <v>79</v>
      </c>
      <c r="B17" s="214">
        <v>78870.97</v>
      </c>
      <c r="C17" s="214">
        <v>298329.31</v>
      </c>
      <c r="D17" s="214">
        <v>377200.28</v>
      </c>
    </row>
    <row r="18" spans="1:4" ht="15">
      <c r="A18" s="44" t="s">
        <v>83</v>
      </c>
      <c r="B18" s="214"/>
      <c r="C18" s="214">
        <v>90494</v>
      </c>
      <c r="D18" s="214">
        <v>90494</v>
      </c>
    </row>
    <row r="19" spans="1:4" ht="15">
      <c r="A19" s="44" t="s">
        <v>142</v>
      </c>
      <c r="B19" s="214">
        <v>2400</v>
      </c>
      <c r="C19" s="214">
        <v>83000</v>
      </c>
      <c r="D19" s="214">
        <v>85400</v>
      </c>
    </row>
    <row r="20" spans="1:4" ht="15">
      <c r="A20" s="43" t="s">
        <v>56</v>
      </c>
      <c r="B20" s="214">
        <v>108404.82</v>
      </c>
      <c r="C20" s="214">
        <v>1037523.3899999999</v>
      </c>
      <c r="D20" s="214">
        <v>1145928.21</v>
      </c>
    </row>
    <row r="23" spans="1:4" ht="15">
      <c r="A23" s="263" t="s">
        <v>164</v>
      </c>
      <c r="B23" s="263"/>
      <c r="C23" s="263"/>
      <c r="D23" s="263"/>
    </row>
    <row r="24" spans="1:4" ht="15">
      <c r="A24" s="263"/>
      <c r="B24" s="263"/>
      <c r="C24" s="263"/>
      <c r="D24" s="263"/>
    </row>
    <row r="25" spans="1:4" ht="15">
      <c r="A25" s="263"/>
      <c r="B25" s="263"/>
      <c r="C25" s="263"/>
      <c r="D25" s="263"/>
    </row>
    <row r="26" spans="1:4" ht="15">
      <c r="A26" s="263"/>
      <c r="B26" s="263"/>
      <c r="C26" s="263"/>
      <c r="D26" s="263"/>
    </row>
    <row r="27" spans="1:4" ht="15">
      <c r="A27" s="263"/>
      <c r="B27" s="263"/>
      <c r="C27" s="263"/>
      <c r="D27" s="263"/>
    </row>
    <row r="28" spans="1:4" ht="15">
      <c r="A28" s="263"/>
      <c r="B28" s="263"/>
      <c r="C28" s="263"/>
      <c r="D28" s="263"/>
    </row>
    <row r="29" spans="1:4" ht="15">
      <c r="A29" s="263"/>
      <c r="B29" s="263"/>
      <c r="C29" s="263"/>
      <c r="D29" s="263"/>
    </row>
    <row r="30" spans="1:4" ht="15">
      <c r="A30" s="263"/>
      <c r="B30" s="263"/>
      <c r="C30" s="263"/>
      <c r="D30" s="263"/>
    </row>
    <row r="31" spans="1:4" ht="15">
      <c r="A31" s="263"/>
      <c r="B31" s="263"/>
      <c r="C31" s="263"/>
      <c r="D31" s="263"/>
    </row>
  </sheetData>
  <sheetProtection/>
  <mergeCells count="2">
    <mergeCell ref="A1:D1"/>
    <mergeCell ref="A23:D31"/>
  </mergeCells>
  <printOp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2:H26"/>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F35" sqref="F35"/>
    </sheetView>
  </sheetViews>
  <sheetFormatPr defaultColWidth="9.140625" defaultRowHeight="15"/>
  <cols>
    <col min="1" max="1" width="24.28125" style="0" customWidth="1"/>
    <col min="2" max="2" width="19.421875" style="0" bestFit="1" customWidth="1"/>
    <col min="3" max="3" width="12.7109375" style="0" bestFit="1" customWidth="1"/>
    <col min="4" max="4" width="18.57421875" style="0" bestFit="1" customWidth="1"/>
    <col min="5" max="5" width="14.7109375" style="0" customWidth="1"/>
    <col min="6" max="6" width="14.28125" style="0" bestFit="1" customWidth="1"/>
  </cols>
  <sheetData>
    <row r="2" spans="1:6" ht="26.25">
      <c r="A2" s="318" t="s">
        <v>47</v>
      </c>
      <c r="B2" s="318"/>
      <c r="C2" s="318"/>
      <c r="D2" s="318"/>
      <c r="E2" s="318"/>
      <c r="F2" s="318"/>
    </row>
    <row r="3" spans="1:6" ht="26.25">
      <c r="A3" s="317" t="s">
        <v>172</v>
      </c>
      <c r="B3" s="317"/>
      <c r="C3" s="317"/>
      <c r="D3" s="317"/>
      <c r="E3" s="317"/>
      <c r="F3" s="317"/>
    </row>
    <row r="4" spans="1:6" ht="16.5" customHeight="1">
      <c r="A4" s="30" t="s">
        <v>6</v>
      </c>
      <c r="B4" s="30" t="s">
        <v>20</v>
      </c>
      <c r="C4" s="30" t="s">
        <v>38</v>
      </c>
      <c r="D4" s="30" t="s">
        <v>126</v>
      </c>
      <c r="E4" s="30" t="s">
        <v>127</v>
      </c>
      <c r="F4" s="30" t="s">
        <v>5</v>
      </c>
    </row>
    <row r="5" spans="1:7" ht="16.5" customHeight="1">
      <c r="A5" s="97" t="str">
        <f>'Office Sharing Payment Ratio'!A5</f>
        <v>SNAP</v>
      </c>
      <c r="B5" s="186">
        <f>'Square Footage'!G6</f>
        <v>9096.989966555184</v>
      </c>
      <c r="C5" s="186">
        <f>FTE!F6</f>
        <v>4157.142857142857</v>
      </c>
      <c r="D5" s="186">
        <f>GETPIVOTDATA("Cost",'Direct Costs'!$A$3,"Location","Pandora","Partner","SNAP","Allocation Base","Shared Direct")</f>
        <v>13124.289999999999</v>
      </c>
      <c r="E5" s="186">
        <f>GETPIVOTDATA("Cost",'Direct Costs'!$A$3,"Location","Pandora","Partner","SNAP","Allocation Base","Direct")</f>
        <v>0</v>
      </c>
      <c r="F5" s="187">
        <f aca="true" t="shared" si="0" ref="F5:F15">SUM(B5:E5)</f>
        <v>26378.42282369804</v>
      </c>
      <c r="G5" s="261" t="s">
        <v>146</v>
      </c>
    </row>
    <row r="6" spans="1:7" ht="16.5" customHeight="1">
      <c r="A6" s="97" t="str">
        <f>'Office Sharing Payment Ratio'!A6</f>
        <v>RESEA</v>
      </c>
      <c r="B6" s="186">
        <f>'Square Footage'!G7</f>
        <v>9096.989966555184</v>
      </c>
      <c r="C6" s="186">
        <f>FTE!F7</f>
        <v>2771.428571428571</v>
      </c>
      <c r="D6" s="186">
        <f>GETPIVOTDATA("Cost",'Direct Costs'!$A$3,"Location","Pandora","Partner","RESEA","Allocation Base","Shared Direct")</f>
        <v>29982.47</v>
      </c>
      <c r="E6" s="186">
        <f>GETPIVOTDATA("Cost",'Direct Costs'!$A$3,"Location","Pandora","Partner","RESEA","Allocation Base","Direct")</f>
        <v>11338.329999999998</v>
      </c>
      <c r="F6" s="187">
        <f t="shared" si="0"/>
        <v>53189.21853798376</v>
      </c>
      <c r="G6" s="261"/>
    </row>
    <row r="7" spans="1:7" ht="16.5" customHeight="1">
      <c r="A7" s="97" t="str">
        <f>'Office Sharing Payment Ratio'!A7</f>
        <v>VETS</v>
      </c>
      <c r="B7" s="186">
        <f>'Square Footage'!G8</f>
        <v>9096.989966555184</v>
      </c>
      <c r="C7" s="186">
        <f>FTE!F8</f>
        <v>10392.857142857141</v>
      </c>
      <c r="D7" s="186">
        <f>GETPIVOTDATA("Cost",'Direct Costs'!$A$3,"Location","Pandora","Partner","Vets","Allocation Base","Shared Direct")</f>
        <v>89088.26</v>
      </c>
      <c r="E7" s="186">
        <f>GETPIVOTDATA("Cost",'Direct Costs'!$A$3,"Location","Pandora","Partner","Vets","Allocation Base","Direct")</f>
        <v>15795.52</v>
      </c>
      <c r="F7" s="187">
        <f t="shared" si="0"/>
        <v>124373.62710941232</v>
      </c>
      <c r="G7" s="261"/>
    </row>
    <row r="8" spans="1:7" ht="16.5" customHeight="1">
      <c r="A8" s="97" t="str">
        <f>'Office Sharing Payment Ratio'!A8</f>
        <v>TAA</v>
      </c>
      <c r="B8" s="186">
        <f>'Square Footage'!G9</f>
        <v>9096.989966555184</v>
      </c>
      <c r="C8" s="186">
        <f>FTE!F9</f>
        <v>1385.7142857142856</v>
      </c>
      <c r="D8" s="186">
        <f>GETPIVOTDATA("Cost",'Direct Costs'!$A$3,"Location","Pandora","Partner","TAA","Allocation Base","Shared Direct")</f>
        <v>16132.06</v>
      </c>
      <c r="E8" s="186">
        <f>GETPIVOTDATA("Cost",'Direct Costs'!$A$3,"Location","Pandora","Partner","TAA","Allocation Base","Direct")</f>
        <v>0</v>
      </c>
      <c r="F8" s="187">
        <f t="shared" si="0"/>
        <v>26614.76425226947</v>
      </c>
      <c r="G8" s="261"/>
    </row>
    <row r="9" spans="1:7" ht="16.5" customHeight="1">
      <c r="A9" s="97" t="str">
        <f>'Office Sharing Payment Ratio'!A9</f>
        <v>Wagner-Peyser Employment Services (ES)</v>
      </c>
      <c r="B9" s="186">
        <f>'Square Footage'!G10</f>
        <v>40936.45484949833</v>
      </c>
      <c r="C9" s="186">
        <f>FTE!F10</f>
        <v>54042.857142857145</v>
      </c>
      <c r="D9" s="186">
        <f>GETPIVOTDATA("Cost",'Direct Costs'!$A$3,"Location","Pandora","Partner","Wagner Peyser","Allocation Base","Shared Direct")</f>
        <v>298329.31</v>
      </c>
      <c r="E9" s="186">
        <f>GETPIVOTDATA("Cost",'Direct Costs'!$A$3,"Location","Pandora","Partner","Wagner Peyser","Allocation Base","Direct")</f>
        <v>78870.97</v>
      </c>
      <c r="F9" s="187">
        <f t="shared" si="0"/>
        <v>472179.5919923554</v>
      </c>
      <c r="G9" s="261"/>
    </row>
    <row r="10" spans="1:7" ht="16.5" customHeight="1">
      <c r="A10" s="97" t="s">
        <v>142</v>
      </c>
      <c r="B10" s="186">
        <f>'Square Footage'!G11</f>
        <v>22742.47491638796</v>
      </c>
      <c r="C10" s="186">
        <f>FTE!F11</f>
        <v>10392.857142857141</v>
      </c>
      <c r="D10" s="186">
        <f>GETPIVOTDATA("Cost",'Direct Costs'!$A$3,"Location","Pandora","Partner","VocRehab","Allocation Base","Shared Direct")</f>
        <v>83000</v>
      </c>
      <c r="E10" s="186">
        <f>GETPIVOTDATA("Cost",'Direct Costs'!$A$3,"Location","Pandora","Partner","VocRehab","Allocation Base","Direct")</f>
        <v>2400</v>
      </c>
      <c r="F10" s="187">
        <f t="shared" si="0"/>
        <v>118535.3320592451</v>
      </c>
      <c r="G10" s="261"/>
    </row>
    <row r="11" spans="1:7" ht="16.5" customHeight="1">
      <c r="A11" s="97" t="str">
        <f>'Office Sharing Payment Ratio'!A11</f>
        <v>WIOA Adult, Dislocated Workers, and Youth Programs</v>
      </c>
      <c r="B11" s="186">
        <f>'Square Footage'!G12</f>
        <v>35933.11036789297</v>
      </c>
      <c r="C11" s="186">
        <f>FTE!F12</f>
        <v>18707.142857142855</v>
      </c>
      <c r="D11" s="186">
        <f>GETPIVOTDATA("Cost",'Direct Costs'!$A$3,"Location","Pandora","Partner","WIOA","Allocation Base","Shared Direct")</f>
        <v>90494</v>
      </c>
      <c r="E11" s="186">
        <f>GETPIVOTDATA("Cost",'Direct Costs'!$A$3,"Location","Pandora","Partner","WIOA","Allocation Base","Direct")</f>
        <v>0</v>
      </c>
      <c r="F11" s="187">
        <f t="shared" si="0"/>
        <v>145134.25322503582</v>
      </c>
      <c r="G11" s="261"/>
    </row>
    <row r="12" spans="1:7" ht="16.5" customHeight="1">
      <c r="A12" s="77" t="str">
        <f>'Office Sharing Payment Ratio'!A12</f>
        <v>WIOA Adult, Dislocated Workers, and Youth Programs</v>
      </c>
      <c r="B12" s="182">
        <f>'Square Footage'!G13</f>
        <v>14920</v>
      </c>
      <c r="C12" s="182">
        <f>FTE!F13</f>
        <v>15580</v>
      </c>
      <c r="D12" s="182">
        <f>GETPIVOTDATA("Cost",'Direct Costs'!$A$3,"Location","Neverland","Partner","WIOA","Allocation Base","Shared Direct")</f>
        <v>70925</v>
      </c>
      <c r="E12" s="182">
        <f>GETPIVOTDATA("Cost",'Direct Costs'!$A$3,"Location","Neverland","Partner","WIOA","Allocation Base","Direct")</f>
        <v>0</v>
      </c>
      <c r="F12" s="183">
        <f t="shared" si="0"/>
        <v>101425</v>
      </c>
      <c r="G12" s="239" t="s">
        <v>148</v>
      </c>
    </row>
    <row r="13" spans="1:7" ht="16.5" customHeight="1">
      <c r="A13" s="83" t="str">
        <f>'Office Sharing Payment Ratio'!A13</f>
        <v>WIOA Adult, Dislocated Workers, and Youth Programs</v>
      </c>
      <c r="B13" s="184">
        <f>'Square Footage'!G14</f>
        <v>15700</v>
      </c>
      <c r="C13" s="184">
        <f>FTE!F14</f>
        <v>16385</v>
      </c>
      <c r="D13" s="184">
        <f>GETPIVOTDATA("Cost",'Direct Costs'!$A$3,"Location","Atlantis","Partner","WIOA","Allocation Base","Shared Direct")</f>
        <v>162701</v>
      </c>
      <c r="E13" s="184">
        <f>GETPIVOTDATA("Cost",'Direct Costs'!$A$3,"Location","Atlantis","Partner","WIOA","Allocation Base","Direct")</f>
        <v>0</v>
      </c>
      <c r="F13" s="185">
        <f t="shared" si="0"/>
        <v>194786</v>
      </c>
      <c r="G13" s="240" t="s">
        <v>145</v>
      </c>
    </row>
    <row r="14" spans="1:7" ht="38.25" customHeight="1">
      <c r="A14" s="89" t="str">
        <f>'Office Sharing Payment Ratio'!A14</f>
        <v>WIOA Adult, Dislocated Workers, and Youth Programs</v>
      </c>
      <c r="B14" s="180">
        <f>'Square Footage'!G15</f>
        <v>10959.199999999999</v>
      </c>
      <c r="C14" s="180">
        <f>FTE!F15</f>
        <v>12671.066666666666</v>
      </c>
      <c r="D14" s="180">
        <f>GETPIVOTDATA("Cost",'Direct Costs'!$A$3,"Location","Oz","Partner","WIOA","Allocation Base","Shared Direct")</f>
        <v>161955</v>
      </c>
      <c r="E14" s="180">
        <f>GETPIVOTDATA("Cost",'Direct Costs'!$A$3,"Location","Oz","Partner","WIOA","Allocation Base","Direct")</f>
        <v>0</v>
      </c>
      <c r="F14" s="181">
        <f t="shared" si="0"/>
        <v>185585.26666666666</v>
      </c>
      <c r="G14" s="262" t="s">
        <v>147</v>
      </c>
    </row>
    <row r="15" spans="1:7" ht="16.5">
      <c r="A15" s="89" t="str">
        <f>'Office Sharing Payment Ratio'!A15</f>
        <v>RESEA</v>
      </c>
      <c r="B15" s="180">
        <f>'Square Footage'!G16</f>
        <v>576.8000000000001</v>
      </c>
      <c r="C15" s="180">
        <f>FTE!F16</f>
        <v>3713.933333333333</v>
      </c>
      <c r="D15" s="180">
        <f>GETPIVOTDATA("Cost",'Direct Costs'!$A$3,"Location","Oz","Partner","RESEA","Allocation Base","Shared Direct")</f>
        <v>21792</v>
      </c>
      <c r="E15" s="180">
        <f>GETPIVOTDATA("Cost",'Direct Costs'!$A$3,"Location","Oz","Partner","RESEA","Allocation Base","Direct")</f>
        <v>0</v>
      </c>
      <c r="F15" s="181">
        <f t="shared" si="0"/>
        <v>26082.733333333334</v>
      </c>
      <c r="G15" s="262"/>
    </row>
    <row r="16" spans="1:6" ht="16.5">
      <c r="A16" s="1" t="s">
        <v>5</v>
      </c>
      <c r="B16" s="31">
        <f>SUM(B5:B15)</f>
        <v>178156</v>
      </c>
      <c r="C16" s="31">
        <f>SUM(C5:C15)</f>
        <v>150199.99999999997</v>
      </c>
      <c r="D16" s="31">
        <f>SUM(D5:D15)</f>
        <v>1037523.39</v>
      </c>
      <c r="E16" s="31">
        <f>SUM(E5:E15)</f>
        <v>108404.82</v>
      </c>
      <c r="F16" s="31">
        <f>SUM(F5:F15)</f>
        <v>1474284.21</v>
      </c>
    </row>
    <row r="17" spans="4:6" ht="15">
      <c r="D17" s="194"/>
      <c r="E17" s="194"/>
      <c r="F17" s="40">
        <f>SUM(B16:E16)</f>
        <v>1474284.2100000002</v>
      </c>
    </row>
    <row r="18" spans="4:6" ht="15">
      <c r="D18" s="195"/>
      <c r="E18" s="195"/>
      <c r="F18" s="197">
        <f>GETPIVOTDATA("Cost",'Cost by Allocation Base'!$A$3)</f>
        <v>1474284.21</v>
      </c>
    </row>
    <row r="19" spans="4:5" ht="15">
      <c r="D19" s="195"/>
      <c r="E19" s="195"/>
    </row>
    <row r="20" spans="1:8" ht="15">
      <c r="A20" s="263" t="s">
        <v>165</v>
      </c>
      <c r="B20" s="263"/>
      <c r="C20" s="263"/>
      <c r="D20" s="263"/>
      <c r="E20" s="263"/>
      <c r="F20" s="263"/>
      <c r="G20" s="263"/>
      <c r="H20" s="263"/>
    </row>
    <row r="21" spans="1:8" ht="15">
      <c r="A21" s="263"/>
      <c r="B21" s="263"/>
      <c r="C21" s="263"/>
      <c r="D21" s="263"/>
      <c r="E21" s="263"/>
      <c r="F21" s="263"/>
      <c r="G21" s="263"/>
      <c r="H21" s="263"/>
    </row>
    <row r="22" spans="1:8" ht="15">
      <c r="A22" s="263"/>
      <c r="B22" s="263"/>
      <c r="C22" s="263"/>
      <c r="D22" s="263"/>
      <c r="E22" s="263"/>
      <c r="F22" s="263"/>
      <c r="G22" s="263"/>
      <c r="H22" s="263"/>
    </row>
    <row r="23" spans="1:8" ht="15">
      <c r="A23" s="263"/>
      <c r="B23" s="263"/>
      <c r="C23" s="263"/>
      <c r="D23" s="263"/>
      <c r="E23" s="263"/>
      <c r="F23" s="263"/>
      <c r="G23" s="263"/>
      <c r="H23" s="263"/>
    </row>
    <row r="24" spans="1:8" ht="15">
      <c r="A24" s="263"/>
      <c r="B24" s="263"/>
      <c r="C24" s="263"/>
      <c r="D24" s="263"/>
      <c r="E24" s="263"/>
      <c r="F24" s="263"/>
      <c r="G24" s="263"/>
      <c r="H24" s="263"/>
    </row>
    <row r="25" spans="1:8" ht="15">
      <c r="A25" s="263"/>
      <c r="B25" s="263"/>
      <c r="C25" s="263"/>
      <c r="D25" s="263"/>
      <c r="E25" s="263"/>
      <c r="F25" s="263"/>
      <c r="G25" s="263"/>
      <c r="H25" s="263"/>
    </row>
    <row r="26" spans="1:8" ht="15">
      <c r="A26" s="263"/>
      <c r="B26" s="263"/>
      <c r="C26" s="263"/>
      <c r="D26" s="263"/>
      <c r="E26" s="263"/>
      <c r="F26" s="263"/>
      <c r="G26" s="263"/>
      <c r="H26" s="263"/>
    </row>
  </sheetData>
  <sheetProtection/>
  <mergeCells count="5">
    <mergeCell ref="A3:F3"/>
    <mergeCell ref="A2:F2"/>
    <mergeCell ref="G5:G11"/>
    <mergeCell ref="G14:G15"/>
    <mergeCell ref="A20:H26"/>
  </mergeCells>
  <printOptions/>
  <pageMargins left="0.7" right="0.7" top="0.75" bottom="0.75" header="0.3" footer="0.3"/>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2:J65534"/>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8" sqref="B8"/>
    </sheetView>
  </sheetViews>
  <sheetFormatPr defaultColWidth="9.140625" defaultRowHeight="15"/>
  <cols>
    <col min="1" max="1" width="44.421875" style="0" bestFit="1" customWidth="1"/>
    <col min="2" max="2" width="18.140625" style="0" customWidth="1"/>
    <col min="3" max="3" width="18.8515625" style="205" customWidth="1"/>
    <col min="4" max="4" width="13.28125" style="0" bestFit="1" customWidth="1"/>
    <col min="5" max="5" width="11.7109375" style="0" bestFit="1" customWidth="1"/>
    <col min="6" max="6" width="14.28125" style="0" bestFit="1" customWidth="1"/>
    <col min="7" max="7" width="9.28125" style="0" bestFit="1" customWidth="1"/>
    <col min="8" max="8" width="12.57421875" style="0" bestFit="1" customWidth="1"/>
    <col min="9" max="9" width="8.140625" style="0" bestFit="1" customWidth="1"/>
    <col min="10" max="10" width="12.57421875" style="0" bestFit="1" customWidth="1"/>
  </cols>
  <sheetData>
    <row r="2" spans="1:8" ht="25.5" customHeight="1">
      <c r="A2" s="319" t="s">
        <v>48</v>
      </c>
      <c r="B2" s="320"/>
      <c r="C2" s="320"/>
      <c r="D2" s="320"/>
      <c r="E2" s="320"/>
      <c r="F2" s="320"/>
      <c r="G2" s="208"/>
      <c r="H2" s="208"/>
    </row>
    <row r="3" spans="1:8" ht="20.25" customHeight="1">
      <c r="A3" s="321" t="s">
        <v>172</v>
      </c>
      <c r="B3" s="322"/>
      <c r="C3" s="322"/>
      <c r="D3" s="322"/>
      <c r="E3" s="322"/>
      <c r="F3" s="322"/>
      <c r="G3" s="208"/>
      <c r="H3" s="208"/>
    </row>
    <row r="4" spans="1:8" ht="33">
      <c r="A4" s="212" t="s">
        <v>6</v>
      </c>
      <c r="B4" s="212" t="s">
        <v>22</v>
      </c>
      <c r="C4" s="212" t="s">
        <v>75</v>
      </c>
      <c r="D4" s="210" t="s">
        <v>126</v>
      </c>
      <c r="E4" s="210" t="s">
        <v>127</v>
      </c>
      <c r="F4" s="212" t="s">
        <v>5</v>
      </c>
      <c r="G4" s="208"/>
      <c r="H4" s="231" t="s">
        <v>144</v>
      </c>
    </row>
    <row r="5" spans="1:9" ht="16.5" customHeight="1">
      <c r="A5" s="218" t="s">
        <v>80</v>
      </c>
      <c r="B5" s="225">
        <f>'Square Footage'!I6+FTE!H6</f>
        <v>9464.336905330694</v>
      </c>
      <c r="C5" s="225">
        <f>FTE!I6</f>
        <v>3789.7959183673465</v>
      </c>
      <c r="D5" s="225">
        <f>GETPIVOTDATA("Cost",'Direct Costs'!$A$3,"Location","Pandora","Partner","SNAP","Allocation Base","Shared Direct")</f>
        <v>13124.289999999999</v>
      </c>
      <c r="E5" s="225">
        <f>GETPIVOTDATA("Cost",'Direct Costs'!$A$3,"Location","Pandora","Partner","SNAP","Allocation Base","Direct")</f>
        <v>0</v>
      </c>
      <c r="F5" s="226">
        <f>SUM(B5:E5)</f>
        <v>26378.42282369804</v>
      </c>
      <c r="G5" s="261" t="s">
        <v>146</v>
      </c>
      <c r="H5" s="214">
        <f>SUM(B5:C5)</f>
        <v>13254.13282369804</v>
      </c>
      <c r="I5" s="236">
        <f>H5/$J$13</f>
        <v>0.05572475435651899</v>
      </c>
    </row>
    <row r="6" spans="1:9" ht="16.5" customHeight="1">
      <c r="A6" s="218" t="s">
        <v>76</v>
      </c>
      <c r="B6" s="225">
        <f>'Square Footage'!I7+FTE!H7</f>
        <v>9341.887925738858</v>
      </c>
      <c r="C6" s="225">
        <f>FTE!I7</f>
        <v>2526.5306122448974</v>
      </c>
      <c r="D6" s="225">
        <f>GETPIVOTDATA("Cost",'Direct Costs'!$A$3,"Location","Pandora","Partner","RESEA","Allocation Base","Shared Direct")</f>
        <v>29982.47</v>
      </c>
      <c r="E6" s="225">
        <f>GETPIVOTDATA("Cost",'Direct Costs'!$A$3,"Location","Pandora","Partner","RESEA","Allocation Base","Direct")</f>
        <v>11338.329999999998</v>
      </c>
      <c r="F6" s="226">
        <f aca="true" t="shared" si="0" ref="F6:F15">SUM(B6:E6)</f>
        <v>53189.21853798376</v>
      </c>
      <c r="G6" s="261"/>
      <c r="H6" s="214">
        <f aca="true" t="shared" si="1" ref="H6:H15">SUM(B6:C6)</f>
        <v>11868.418537983755</v>
      </c>
      <c r="I6" s="236">
        <f aca="true" t="shared" si="2" ref="I6:I11">H6/$J$13</f>
        <v>0.049898753575714765</v>
      </c>
    </row>
    <row r="7" spans="1:9" ht="16.5" customHeight="1">
      <c r="A7" s="218" t="s">
        <v>95</v>
      </c>
      <c r="B7" s="225">
        <f>'Square Footage'!I8+FTE!H8</f>
        <v>10015.35731349396</v>
      </c>
      <c r="C7" s="225">
        <f>FTE!I8</f>
        <v>9474.489795918365</v>
      </c>
      <c r="D7" s="225">
        <f>GETPIVOTDATA("Cost",'Direct Costs'!$A$3,"Location","Pandora","Partner","Vets","Allocation Base","Shared Direct")</f>
        <v>89088.26</v>
      </c>
      <c r="E7" s="225">
        <f>GETPIVOTDATA("Cost",'Direct Costs'!$A$3,"Location","Pandora","Partner","Vets","Allocation Base","Direct")</f>
        <v>15795.52</v>
      </c>
      <c r="F7" s="226">
        <f t="shared" si="0"/>
        <v>124373.62710941232</v>
      </c>
      <c r="G7" s="261"/>
      <c r="H7" s="214">
        <f t="shared" si="1"/>
        <v>19489.847109412323</v>
      </c>
      <c r="I7" s="236">
        <f t="shared" si="2"/>
        <v>0.08194175787013801</v>
      </c>
    </row>
    <row r="8" spans="1:9" ht="16.5" customHeight="1">
      <c r="A8" s="218" t="s">
        <v>77</v>
      </c>
      <c r="B8" s="225">
        <f>'Square Footage'!I9+FTE!H9</f>
        <v>9219.43894614702</v>
      </c>
      <c r="C8" s="225">
        <f>FTE!I9</f>
        <v>1263.2653061224487</v>
      </c>
      <c r="D8" s="225">
        <f>GETPIVOTDATA("Cost",'Direct Costs'!$A$3,"Location","Pandora","Partner","TAA","Allocation Base","Shared Direct")</f>
        <v>16132.06</v>
      </c>
      <c r="E8" s="225">
        <f>GETPIVOTDATA("Cost",'Direct Costs'!$A$3,"Location","Pandora","Partner","TAA","Allocation Base","Direct")</f>
        <v>0</v>
      </c>
      <c r="F8" s="226">
        <f t="shared" si="0"/>
        <v>26614.764252269466</v>
      </c>
      <c r="G8" s="261"/>
      <c r="H8" s="214">
        <f t="shared" si="1"/>
        <v>10482.704252269468</v>
      </c>
      <c r="I8" s="236">
        <f t="shared" si="2"/>
        <v>0.04407275279491053</v>
      </c>
    </row>
    <row r="9" spans="1:9" ht="16.5" customHeight="1">
      <c r="A9" s="218" t="s">
        <v>114</v>
      </c>
      <c r="B9" s="225">
        <f>'Square Footage'!I10+FTE!H10</f>
        <v>45711.96505357997</v>
      </c>
      <c r="C9" s="225">
        <f>FTE!I10</f>
        <v>49267.34693877551</v>
      </c>
      <c r="D9" s="225">
        <f>GETPIVOTDATA("Cost",'Direct Costs'!$A$3,"Location","Pandora","Partner","Wagner Peyser","Allocation Base","Shared Direct")</f>
        <v>298329.31</v>
      </c>
      <c r="E9" s="225">
        <f>GETPIVOTDATA("Cost",'Direct Costs'!$A$3,"Location","Pandora","Partner","Wagner Peyser","Allocation Base","Direct")</f>
        <v>78870.97</v>
      </c>
      <c r="F9" s="226">
        <f t="shared" si="0"/>
        <v>472179.5919923554</v>
      </c>
      <c r="G9" s="261"/>
      <c r="H9" s="214">
        <f t="shared" si="1"/>
        <v>94979.31199235548</v>
      </c>
      <c r="I9" s="236">
        <f t="shared" si="2"/>
        <v>0.39932441451484335</v>
      </c>
    </row>
    <row r="10" spans="1:9" ht="16.5" customHeight="1">
      <c r="A10" s="218" t="s">
        <v>142</v>
      </c>
      <c r="B10" s="225">
        <f>'Square Footage'!I11+FTE!H11</f>
        <v>23660.842263326736</v>
      </c>
      <c r="C10" s="225">
        <f>FTE!I11</f>
        <v>9474.489795918365</v>
      </c>
      <c r="D10" s="225">
        <f>GETPIVOTDATA("Cost",'Direct Costs'!$A$3,"Location","Pandora","Partner","VocRehab","Allocation Base","Shared Direct")</f>
        <v>83000</v>
      </c>
      <c r="E10" s="225">
        <f>GETPIVOTDATA("Cost",'Direct Costs'!$A$3,"Location","Pandora","Partner","VocRehab","Allocation Base","Direct")</f>
        <v>2400</v>
      </c>
      <c r="F10" s="226">
        <f t="shared" si="0"/>
        <v>118535.3320592451</v>
      </c>
      <c r="G10" s="261"/>
      <c r="H10" s="214">
        <f t="shared" si="1"/>
        <v>33135.332059245105</v>
      </c>
      <c r="I10" s="236">
        <f t="shared" si="2"/>
        <v>0.1393118858912975</v>
      </c>
    </row>
    <row r="11" spans="1:9" ht="16.5" customHeight="1">
      <c r="A11" s="218" t="s">
        <v>115</v>
      </c>
      <c r="B11" s="225">
        <f>'Square Footage'!I12+FTE!H12</f>
        <v>37586.171592382765</v>
      </c>
      <c r="C11" s="225">
        <f>FTE!I12</f>
        <v>17054.08163265306</v>
      </c>
      <c r="D11" s="225">
        <f>GETPIVOTDATA("Cost",'Direct Costs'!$A$3,"Location","Pandora","Partner","WIOA","Allocation Base","Shared Direct")</f>
        <v>90494</v>
      </c>
      <c r="E11" s="225">
        <f>GETPIVOTDATA("Cost",'Direct Costs'!$A$3,"Location","Pandora","Partner","WIOA","Allocation Base","Direct")</f>
        <v>0</v>
      </c>
      <c r="F11" s="226">
        <f t="shared" si="0"/>
        <v>145134.25322503582</v>
      </c>
      <c r="G11" s="261"/>
      <c r="H11" s="214">
        <f t="shared" si="1"/>
        <v>54640.25322503582</v>
      </c>
      <c r="I11" s="236">
        <f t="shared" si="2"/>
        <v>0.22972568099657695</v>
      </c>
    </row>
    <row r="12" spans="1:8" ht="16.5" customHeight="1">
      <c r="A12" s="215" t="s">
        <v>115</v>
      </c>
      <c r="B12" s="221">
        <f>'Square Footage'!I13+FTE!H13</f>
        <v>18120</v>
      </c>
      <c r="C12" s="221">
        <f>FTE!I13</f>
        <v>12380</v>
      </c>
      <c r="D12" s="221">
        <f>GETPIVOTDATA("Cost",'Direct Costs'!$A$3,"Location","Neverland","Partner","WIOA","Allocation Base","Shared Direct")</f>
        <v>70925</v>
      </c>
      <c r="E12" s="221">
        <f>GETPIVOTDATA("Cost",'Direct Costs'!$A$3,"Location","Neverland","Partner","WIOA","Allocation Base","Direct")</f>
        <v>0</v>
      </c>
      <c r="F12" s="222">
        <f t="shared" si="0"/>
        <v>101425</v>
      </c>
      <c r="G12" s="239" t="s">
        <v>148</v>
      </c>
      <c r="H12" s="214">
        <f>SUM(B12:C12)</f>
        <v>30500</v>
      </c>
    </row>
    <row r="13" spans="1:10" ht="16.5" customHeight="1">
      <c r="A13" s="216" t="s">
        <v>115</v>
      </c>
      <c r="B13" s="223">
        <f>'Square Footage'!I14+FTE!H14</f>
        <v>19700</v>
      </c>
      <c r="C13" s="223">
        <f>FTE!I14</f>
        <v>12385</v>
      </c>
      <c r="D13" s="223">
        <f>GETPIVOTDATA("Cost",'Direct Costs'!$A$3,"Location","Atlantis","Partner","WIOA","Allocation Base","Shared Direct")</f>
        <v>162701</v>
      </c>
      <c r="E13" s="223">
        <f>GETPIVOTDATA("Cost",'Direct Costs'!$A$3,"Location","Atlantis","Partner","WIOA","Allocation Base","Direct")</f>
        <v>0</v>
      </c>
      <c r="F13" s="224">
        <f t="shared" si="0"/>
        <v>194786</v>
      </c>
      <c r="G13" s="240" t="s">
        <v>145</v>
      </c>
      <c r="H13" s="214">
        <f t="shared" si="1"/>
        <v>32085</v>
      </c>
      <c r="J13" s="214">
        <f>SUM(H5:H11)</f>
        <v>237849.99999999997</v>
      </c>
    </row>
    <row r="14" spans="1:8" ht="46.5" customHeight="1">
      <c r="A14" s="217" t="s">
        <v>115</v>
      </c>
      <c r="B14" s="219">
        <f>'Square Footage'!I15+FTE!H15</f>
        <v>14052.533333333333</v>
      </c>
      <c r="C14" s="219">
        <f>FTE!I15</f>
        <v>9577.733333333332</v>
      </c>
      <c r="D14" s="219">
        <f>GETPIVOTDATA("Cost",'Direct Costs'!$A$3,"Location","Oz","Partner","WIOA","Allocation Base","Shared Direct")</f>
        <v>161955</v>
      </c>
      <c r="E14" s="219">
        <f>GETPIVOTDATA("Cost",'Direct Costs'!$A$3,"Location","Oz","Partner","WIOA","Allocation Base","Direct")</f>
        <v>0</v>
      </c>
      <c r="F14" s="220">
        <f t="shared" si="0"/>
        <v>185585.26666666666</v>
      </c>
      <c r="G14" s="262" t="s">
        <v>147</v>
      </c>
      <c r="H14" s="214">
        <f t="shared" si="1"/>
        <v>23630.266666666663</v>
      </c>
    </row>
    <row r="15" spans="1:8" ht="16.5">
      <c r="A15" s="217" t="s">
        <v>76</v>
      </c>
      <c r="B15" s="219">
        <f>'Square Footage'!I16+FTE!H16</f>
        <v>1483.4666666666667</v>
      </c>
      <c r="C15" s="219">
        <f>FTE!I16</f>
        <v>2807.2666666666664</v>
      </c>
      <c r="D15" s="219">
        <f>GETPIVOTDATA("Cost",'Direct Costs'!$A$3,"Location","Oz","Partner","RESEA","Allocation Base","Shared Direct")</f>
        <v>21792</v>
      </c>
      <c r="E15" s="219">
        <f>GETPIVOTDATA("Cost",'Direct Costs'!$A$3,"Location","Oz","Partner","RESEA","Allocation Base","Direct")</f>
        <v>0</v>
      </c>
      <c r="F15" s="220">
        <f t="shared" si="0"/>
        <v>26082.733333333334</v>
      </c>
      <c r="G15" s="262"/>
      <c r="H15" s="214">
        <f t="shared" si="1"/>
        <v>4290.733333333334</v>
      </c>
    </row>
    <row r="16" spans="1:8" ht="16.5">
      <c r="A16" s="209" t="s">
        <v>5</v>
      </c>
      <c r="B16" s="211">
        <f>SUM(B5:B15)</f>
        <v>198356</v>
      </c>
      <c r="C16" s="211">
        <f>SUM(C5:C15)</f>
        <v>129999.99999999999</v>
      </c>
      <c r="D16" s="211">
        <f>SUM(D5:D15)</f>
        <v>1037523.39</v>
      </c>
      <c r="E16" s="211">
        <f>SUM(E5:E15)</f>
        <v>108404.82</v>
      </c>
      <c r="F16" s="211">
        <f>SUM(F5:F15)</f>
        <v>1474284.21</v>
      </c>
      <c r="G16" s="208"/>
      <c r="H16" s="214">
        <f>SUM(H5:H15)</f>
        <v>328356</v>
      </c>
    </row>
    <row r="17" spans="1:8" ht="15">
      <c r="A17" s="208"/>
      <c r="B17" s="208"/>
      <c r="C17" s="229"/>
      <c r="D17" s="227"/>
      <c r="E17" s="227"/>
      <c r="F17" s="213">
        <f>GETPIVOTDATA("Cost",'Cost by Allocation Base'!$A$3)</f>
        <v>1474284.21</v>
      </c>
      <c r="G17" s="208"/>
      <c r="H17" s="208"/>
    </row>
    <row r="18" spans="1:8" ht="15">
      <c r="A18" s="208"/>
      <c r="B18" s="208"/>
      <c r="C18" s="230"/>
      <c r="D18" s="228"/>
      <c r="E18" s="228"/>
      <c r="F18" s="208"/>
      <c r="G18" s="208"/>
      <c r="H18" s="208"/>
    </row>
    <row r="19" spans="1:8" ht="15">
      <c r="A19" s="208"/>
      <c r="B19" s="208"/>
      <c r="C19" s="230"/>
      <c r="D19" s="228"/>
      <c r="E19" s="228"/>
      <c r="F19" s="208"/>
      <c r="G19" s="208"/>
      <c r="H19" s="208"/>
    </row>
    <row r="20" spans="1:8" ht="15">
      <c r="A20" s="263" t="s">
        <v>170</v>
      </c>
      <c r="B20" s="263"/>
      <c r="C20" s="263"/>
      <c r="D20" s="263"/>
      <c r="E20" s="263"/>
      <c r="F20" s="263"/>
      <c r="G20" s="263"/>
      <c r="H20" s="263"/>
    </row>
    <row r="21" spans="1:8" ht="15">
      <c r="A21" s="263"/>
      <c r="B21" s="263"/>
      <c r="C21" s="263"/>
      <c r="D21" s="263"/>
      <c r="E21" s="263"/>
      <c r="F21" s="263"/>
      <c r="G21" s="263"/>
      <c r="H21" s="263"/>
    </row>
    <row r="22" spans="1:8" ht="15">
      <c r="A22" s="263"/>
      <c r="B22" s="263"/>
      <c r="C22" s="263"/>
      <c r="D22" s="263"/>
      <c r="E22" s="263"/>
      <c r="F22" s="263"/>
      <c r="G22" s="263"/>
      <c r="H22" s="263"/>
    </row>
    <row r="23" spans="1:8" ht="15">
      <c r="A23" s="263"/>
      <c r="B23" s="263"/>
      <c r="C23" s="263"/>
      <c r="D23" s="263"/>
      <c r="E23" s="263"/>
      <c r="F23" s="263"/>
      <c r="G23" s="263"/>
      <c r="H23" s="263"/>
    </row>
    <row r="24" spans="1:8" ht="15">
      <c r="A24" s="263"/>
      <c r="B24" s="263"/>
      <c r="C24" s="263"/>
      <c r="D24" s="263"/>
      <c r="E24" s="263"/>
      <c r="F24" s="263"/>
      <c r="G24" s="263"/>
      <c r="H24" s="263"/>
    </row>
    <row r="25" spans="1:8" ht="15">
      <c r="A25" s="263"/>
      <c r="B25" s="263"/>
      <c r="C25" s="263"/>
      <c r="D25" s="263"/>
      <c r="E25" s="263"/>
      <c r="F25" s="263"/>
      <c r="G25" s="263"/>
      <c r="H25" s="263"/>
    </row>
    <row r="26" spans="1:8" ht="15">
      <c r="A26" s="263"/>
      <c r="B26" s="263"/>
      <c r="C26" s="263"/>
      <c r="D26" s="263"/>
      <c r="E26" s="263"/>
      <c r="F26" s="263"/>
      <c r="G26" s="263"/>
      <c r="H26" s="263"/>
    </row>
    <row r="28" spans="1:4" ht="15">
      <c r="A28" s="42" t="s">
        <v>166</v>
      </c>
      <c r="C28"/>
      <c r="D28" s="42" t="s">
        <v>63</v>
      </c>
    </row>
    <row r="29" spans="1:8" ht="15">
      <c r="A29" s="42" t="s">
        <v>167</v>
      </c>
      <c r="B29" s="42" t="s">
        <v>168</v>
      </c>
      <c r="C29" s="42" t="s">
        <v>169</v>
      </c>
      <c r="D29" s="208" t="s">
        <v>145</v>
      </c>
      <c r="E29" s="208" t="s">
        <v>148</v>
      </c>
      <c r="F29" s="208" t="s">
        <v>147</v>
      </c>
      <c r="G29" s="208" t="s">
        <v>146</v>
      </c>
      <c r="H29" s="208" t="s">
        <v>56</v>
      </c>
    </row>
    <row r="30" spans="1:8" ht="15">
      <c r="A30" s="208" t="s">
        <v>75</v>
      </c>
      <c r="B30" s="208" t="s">
        <v>74</v>
      </c>
      <c r="C30" s="208" t="s">
        <v>141</v>
      </c>
      <c r="D30" s="249">
        <v>2385</v>
      </c>
      <c r="E30" s="249">
        <v>2380</v>
      </c>
      <c r="F30" s="249">
        <v>2385</v>
      </c>
      <c r="G30" s="249">
        <v>17850</v>
      </c>
      <c r="H30" s="249">
        <v>25000</v>
      </c>
    </row>
    <row r="31" spans="2:8" ht="15">
      <c r="B31" s="208" t="s">
        <v>67</v>
      </c>
      <c r="C31" s="208" t="s">
        <v>141</v>
      </c>
      <c r="D31" s="249">
        <v>10000</v>
      </c>
      <c r="E31" s="249">
        <v>10000</v>
      </c>
      <c r="F31" s="249">
        <v>10000</v>
      </c>
      <c r="G31" s="249">
        <v>75000</v>
      </c>
      <c r="H31" s="249">
        <v>105000</v>
      </c>
    </row>
    <row r="32" spans="1:8" ht="15">
      <c r="A32" s="208" t="s">
        <v>173</v>
      </c>
      <c r="B32" s="208"/>
      <c r="C32" s="208"/>
      <c r="D32" s="249">
        <v>12385</v>
      </c>
      <c r="E32" s="249">
        <v>12380</v>
      </c>
      <c r="F32" s="249">
        <v>12385</v>
      </c>
      <c r="G32" s="249">
        <v>92850</v>
      </c>
      <c r="H32" s="249">
        <v>130000</v>
      </c>
    </row>
    <row r="33" spans="1:8" ht="15">
      <c r="A33" s="208" t="s">
        <v>58</v>
      </c>
      <c r="B33" s="208" t="s">
        <v>85</v>
      </c>
      <c r="C33" s="208" t="s">
        <v>87</v>
      </c>
      <c r="D33" s="249">
        <v>1000</v>
      </c>
      <c r="E33" s="249">
        <v>1000</v>
      </c>
      <c r="F33" s="249">
        <v>1000</v>
      </c>
      <c r="G33" s="249"/>
      <c r="H33" s="249">
        <v>3000</v>
      </c>
    </row>
    <row r="34" spans="3:8" ht="15">
      <c r="C34" s="208" t="s">
        <v>89</v>
      </c>
      <c r="D34" s="249"/>
      <c r="E34" s="249"/>
      <c r="F34" s="249"/>
      <c r="G34" s="249">
        <v>1000</v>
      </c>
      <c r="H34" s="249">
        <v>1000</v>
      </c>
    </row>
    <row r="35" spans="2:8" ht="15">
      <c r="B35" s="208" t="s">
        <v>129</v>
      </c>
      <c r="C35" s="208" t="s">
        <v>129</v>
      </c>
      <c r="D35" s="249">
        <v>2400</v>
      </c>
      <c r="E35" s="249">
        <v>2400</v>
      </c>
      <c r="F35" s="249"/>
      <c r="G35" s="249"/>
      <c r="H35" s="249">
        <v>4800</v>
      </c>
    </row>
    <row r="36" spans="3:8" ht="15">
      <c r="C36" s="208" t="s">
        <v>89</v>
      </c>
      <c r="D36" s="249"/>
      <c r="E36" s="249"/>
      <c r="F36" s="249">
        <v>2400</v>
      </c>
      <c r="G36" s="249">
        <v>2400</v>
      </c>
      <c r="H36" s="249">
        <v>4800</v>
      </c>
    </row>
    <row r="37" spans="2:8" ht="15">
      <c r="B37" s="208" t="s">
        <v>84</v>
      </c>
      <c r="C37" s="208" t="s">
        <v>88</v>
      </c>
      <c r="D37" s="249">
        <v>14700</v>
      </c>
      <c r="E37" s="249">
        <v>13920</v>
      </c>
      <c r="F37" s="249"/>
      <c r="G37" s="249"/>
      <c r="H37" s="249">
        <v>28620</v>
      </c>
    </row>
    <row r="38" spans="3:8" ht="15">
      <c r="C38" s="208" t="s">
        <v>84</v>
      </c>
      <c r="D38" s="249"/>
      <c r="E38" s="249"/>
      <c r="F38" s="249"/>
      <c r="G38" s="249">
        <v>135000</v>
      </c>
      <c r="H38" s="249">
        <v>135000</v>
      </c>
    </row>
    <row r="39" spans="3:8" ht="15">
      <c r="C39" s="208" t="s">
        <v>89</v>
      </c>
      <c r="D39" s="249"/>
      <c r="E39" s="249"/>
      <c r="F39" s="249">
        <v>10536</v>
      </c>
      <c r="G39" s="249"/>
      <c r="H39" s="249">
        <v>10536</v>
      </c>
    </row>
    <row r="40" spans="2:8" ht="15">
      <c r="B40" s="208" t="s">
        <v>65</v>
      </c>
      <c r="C40" s="208" t="s">
        <v>86</v>
      </c>
      <c r="D40" s="249">
        <v>1600</v>
      </c>
      <c r="E40" s="249">
        <v>800</v>
      </c>
      <c r="F40" s="249">
        <v>1600</v>
      </c>
      <c r="G40" s="249">
        <v>1600</v>
      </c>
      <c r="H40" s="249">
        <v>5600</v>
      </c>
    </row>
    <row r="41" spans="3:8" ht="15">
      <c r="C41" s="208" t="s">
        <v>92</v>
      </c>
      <c r="D41" s="249"/>
      <c r="E41" s="249"/>
      <c r="F41" s="249"/>
      <c r="G41" s="249">
        <v>5000</v>
      </c>
      <c r="H41" s="249">
        <v>5000</v>
      </c>
    </row>
    <row r="42" spans="1:8" ht="15">
      <c r="A42" s="208" t="s">
        <v>174</v>
      </c>
      <c r="B42" s="208"/>
      <c r="C42" s="208"/>
      <c r="D42" s="249">
        <v>19700</v>
      </c>
      <c r="E42" s="249">
        <v>18120</v>
      </c>
      <c r="F42" s="249">
        <v>15536</v>
      </c>
      <c r="G42" s="249">
        <v>145000</v>
      </c>
      <c r="H42" s="249">
        <v>198356</v>
      </c>
    </row>
    <row r="43" spans="1:8" ht="15">
      <c r="A43" s="208" t="s">
        <v>70</v>
      </c>
      <c r="B43" s="208" t="s">
        <v>85</v>
      </c>
      <c r="C43" s="208" t="s">
        <v>143</v>
      </c>
      <c r="D43" s="249"/>
      <c r="E43" s="249"/>
      <c r="F43" s="249"/>
      <c r="G43" s="249">
        <v>2400</v>
      </c>
      <c r="H43" s="249">
        <v>2400</v>
      </c>
    </row>
    <row r="44" spans="2:8" ht="15">
      <c r="B44" s="208" t="s">
        <v>66</v>
      </c>
      <c r="C44" s="208" t="s">
        <v>90</v>
      </c>
      <c r="D44" s="249"/>
      <c r="E44" s="249"/>
      <c r="F44" s="249"/>
      <c r="G44" s="249">
        <v>15.82</v>
      </c>
      <c r="H44" s="249">
        <v>15.82</v>
      </c>
    </row>
    <row r="45" spans="3:8" ht="15">
      <c r="C45" s="208" t="s">
        <v>91</v>
      </c>
      <c r="D45" s="249"/>
      <c r="E45" s="249"/>
      <c r="F45" s="249"/>
      <c r="G45" s="249">
        <v>22.02</v>
      </c>
      <c r="H45" s="249">
        <v>22.02</v>
      </c>
    </row>
    <row r="46" spans="3:8" ht="15">
      <c r="C46" s="208" t="s">
        <v>92</v>
      </c>
      <c r="D46" s="249"/>
      <c r="E46" s="249"/>
      <c r="F46" s="249"/>
      <c r="G46" s="249">
        <v>109.74</v>
      </c>
      <c r="H46" s="249">
        <v>109.74</v>
      </c>
    </row>
    <row r="47" spans="2:8" ht="15">
      <c r="B47" s="208" t="s">
        <v>131</v>
      </c>
      <c r="C47" s="208" t="s">
        <v>90</v>
      </c>
      <c r="D47" s="249"/>
      <c r="E47" s="249"/>
      <c r="F47" s="249"/>
      <c r="G47" s="249">
        <v>10855.3</v>
      </c>
      <c r="H47" s="249">
        <v>10855.3</v>
      </c>
    </row>
    <row r="48" spans="3:8" ht="15">
      <c r="C48" s="208" t="s">
        <v>91</v>
      </c>
      <c r="D48" s="249"/>
      <c r="E48" s="249"/>
      <c r="F48" s="249"/>
      <c r="G48" s="249">
        <v>15110.21</v>
      </c>
      <c r="H48" s="249">
        <v>15110.21</v>
      </c>
    </row>
    <row r="49" spans="2:8" ht="15">
      <c r="B49" s="208" t="s">
        <v>73</v>
      </c>
      <c r="C49" s="208" t="s">
        <v>90</v>
      </c>
      <c r="D49" s="249"/>
      <c r="E49" s="249"/>
      <c r="F49" s="249"/>
      <c r="G49" s="249">
        <v>467.21</v>
      </c>
      <c r="H49" s="249">
        <v>467.21</v>
      </c>
    </row>
    <row r="50" spans="3:8" ht="15">
      <c r="C50" s="208" t="s">
        <v>91</v>
      </c>
      <c r="D50" s="249"/>
      <c r="E50" s="249"/>
      <c r="F50" s="249"/>
      <c r="G50" s="249">
        <v>663.29</v>
      </c>
      <c r="H50" s="249">
        <v>663.29</v>
      </c>
    </row>
    <row r="51" spans="3:8" ht="15">
      <c r="C51" s="208" t="s">
        <v>92</v>
      </c>
      <c r="D51" s="249"/>
      <c r="E51" s="249"/>
      <c r="F51" s="249"/>
      <c r="G51" s="249">
        <v>78406.22</v>
      </c>
      <c r="H51" s="249">
        <v>78406.22</v>
      </c>
    </row>
    <row r="52" spans="2:8" ht="15">
      <c r="B52" s="208" t="s">
        <v>132</v>
      </c>
      <c r="C52" s="208" t="s">
        <v>92</v>
      </c>
      <c r="D52" s="249"/>
      <c r="E52" s="249"/>
      <c r="F52" s="249"/>
      <c r="G52" s="249">
        <v>355.01</v>
      </c>
      <c r="H52" s="249">
        <v>355.01</v>
      </c>
    </row>
    <row r="53" spans="1:8" ht="15">
      <c r="A53" s="208" t="s">
        <v>175</v>
      </c>
      <c r="B53" s="208"/>
      <c r="C53" s="208"/>
      <c r="D53" s="249"/>
      <c r="E53" s="249"/>
      <c r="F53" s="249"/>
      <c r="G53" s="249">
        <v>108404.81999999999</v>
      </c>
      <c r="H53" s="249">
        <v>108404.81999999999</v>
      </c>
    </row>
    <row r="54" spans="1:8" ht="15">
      <c r="A54" s="208" t="s">
        <v>62</v>
      </c>
      <c r="B54" s="208" t="s">
        <v>68</v>
      </c>
      <c r="C54" s="208" t="s">
        <v>90</v>
      </c>
      <c r="D54" s="249"/>
      <c r="E54" s="249"/>
      <c r="F54" s="249">
        <v>1548</v>
      </c>
      <c r="G54" s="249">
        <v>7185.72</v>
      </c>
      <c r="H54" s="249">
        <v>8733.720000000001</v>
      </c>
    </row>
    <row r="55" spans="3:8" ht="15">
      <c r="C55" s="208" t="s">
        <v>93</v>
      </c>
      <c r="D55" s="249"/>
      <c r="E55" s="249"/>
      <c r="F55" s="249"/>
      <c r="G55" s="249">
        <v>2217.56</v>
      </c>
      <c r="H55" s="249">
        <v>2217.56</v>
      </c>
    </row>
    <row r="56" spans="3:8" ht="15">
      <c r="C56" s="208" t="s">
        <v>94</v>
      </c>
      <c r="D56" s="249"/>
      <c r="E56" s="249"/>
      <c r="F56" s="249"/>
      <c r="G56" s="249">
        <v>4000</v>
      </c>
      <c r="H56" s="249">
        <v>4000</v>
      </c>
    </row>
    <row r="57" spans="3:8" ht="15">
      <c r="C57" s="208" t="s">
        <v>91</v>
      </c>
      <c r="D57" s="249"/>
      <c r="E57" s="249"/>
      <c r="F57" s="249"/>
      <c r="G57" s="249">
        <v>14892.48</v>
      </c>
      <c r="H57" s="249">
        <v>14892.48</v>
      </c>
    </row>
    <row r="58" spans="3:8" ht="15">
      <c r="C58" s="208" t="s">
        <v>143</v>
      </c>
      <c r="D58" s="249"/>
      <c r="E58" s="249"/>
      <c r="F58" s="249"/>
      <c r="G58" s="249">
        <v>21000</v>
      </c>
      <c r="H58" s="249">
        <v>21000</v>
      </c>
    </row>
    <row r="59" spans="3:8" ht="15">
      <c r="C59" s="208" t="s">
        <v>89</v>
      </c>
      <c r="D59" s="249">
        <v>57896</v>
      </c>
      <c r="E59" s="249">
        <v>33440</v>
      </c>
      <c r="F59" s="249">
        <v>66801</v>
      </c>
      <c r="G59" s="249">
        <v>34069</v>
      </c>
      <c r="H59" s="249">
        <v>192206</v>
      </c>
    </row>
    <row r="60" spans="3:8" ht="15">
      <c r="C60" s="208" t="s">
        <v>92</v>
      </c>
      <c r="D60" s="249"/>
      <c r="E60" s="249"/>
      <c r="F60" s="249"/>
      <c r="G60" s="249">
        <v>71935.77</v>
      </c>
      <c r="H60" s="249">
        <v>71935.77</v>
      </c>
    </row>
    <row r="61" spans="2:8" ht="15">
      <c r="B61" s="208" t="s">
        <v>74</v>
      </c>
      <c r="C61" s="208" t="s">
        <v>90</v>
      </c>
      <c r="D61" s="249"/>
      <c r="E61" s="249"/>
      <c r="F61" s="249"/>
      <c r="G61" s="249">
        <v>6401.99</v>
      </c>
      <c r="H61" s="249">
        <v>6401.99</v>
      </c>
    </row>
    <row r="62" spans="3:8" ht="15">
      <c r="C62" s="208" t="s">
        <v>93</v>
      </c>
      <c r="D62" s="249"/>
      <c r="E62" s="249"/>
      <c r="F62" s="249"/>
      <c r="G62" s="249">
        <v>1733.64</v>
      </c>
      <c r="H62" s="249">
        <v>1733.64</v>
      </c>
    </row>
    <row r="63" spans="3:8" ht="15">
      <c r="C63" s="208" t="s">
        <v>94</v>
      </c>
      <c r="D63" s="249"/>
      <c r="E63" s="249"/>
      <c r="F63" s="249"/>
      <c r="G63" s="249">
        <v>132.06</v>
      </c>
      <c r="H63" s="249">
        <v>132.06</v>
      </c>
    </row>
    <row r="64" spans="3:8" ht="15">
      <c r="C64" s="208" t="s">
        <v>91</v>
      </c>
      <c r="D64" s="249"/>
      <c r="E64" s="249"/>
      <c r="F64" s="249"/>
      <c r="G64" s="249">
        <v>7602.86</v>
      </c>
      <c r="H64" s="249">
        <v>7602.86</v>
      </c>
    </row>
    <row r="65" spans="3:8" ht="15">
      <c r="C65" s="208" t="s">
        <v>92</v>
      </c>
      <c r="D65" s="249"/>
      <c r="E65" s="249"/>
      <c r="F65" s="249"/>
      <c r="G65" s="249">
        <v>39085.97</v>
      </c>
      <c r="H65" s="249">
        <v>39085.97</v>
      </c>
    </row>
    <row r="66" spans="2:8" ht="15">
      <c r="B66" s="208" t="s">
        <v>67</v>
      </c>
      <c r="C66" s="208" t="s">
        <v>90</v>
      </c>
      <c r="D66" s="249"/>
      <c r="E66" s="249"/>
      <c r="F66" s="249">
        <v>20244</v>
      </c>
      <c r="G66" s="249">
        <v>16394.76</v>
      </c>
      <c r="H66" s="249">
        <v>36638.759999999995</v>
      </c>
    </row>
    <row r="67" spans="3:8" ht="15">
      <c r="C67" s="208" t="s">
        <v>93</v>
      </c>
      <c r="D67" s="249"/>
      <c r="E67" s="249"/>
      <c r="F67" s="249"/>
      <c r="G67" s="249">
        <v>9173.09</v>
      </c>
      <c r="H67" s="249">
        <v>9173.09</v>
      </c>
    </row>
    <row r="68" spans="3:8" ht="15">
      <c r="C68" s="208" t="s">
        <v>94</v>
      </c>
      <c r="D68" s="249"/>
      <c r="E68" s="249"/>
      <c r="F68" s="249"/>
      <c r="G68" s="249">
        <v>12000</v>
      </c>
      <c r="H68" s="249">
        <v>12000</v>
      </c>
    </row>
    <row r="69" spans="3:8" ht="15">
      <c r="C69" s="208" t="s">
        <v>91</v>
      </c>
      <c r="D69" s="249"/>
      <c r="E69" s="249"/>
      <c r="F69" s="249"/>
      <c r="G69" s="249">
        <v>62825.28</v>
      </c>
      <c r="H69" s="249">
        <v>62825.28</v>
      </c>
    </row>
    <row r="70" spans="3:8" ht="15">
      <c r="C70" s="208" t="s">
        <v>143</v>
      </c>
      <c r="D70" s="249"/>
      <c r="E70" s="249"/>
      <c r="F70" s="249"/>
      <c r="G70" s="249">
        <v>62000</v>
      </c>
      <c r="H70" s="249">
        <v>62000</v>
      </c>
    </row>
    <row r="71" spans="3:8" ht="15">
      <c r="C71" s="208" t="s">
        <v>89</v>
      </c>
      <c r="D71" s="249">
        <v>102405</v>
      </c>
      <c r="E71" s="249">
        <v>36285</v>
      </c>
      <c r="F71" s="249">
        <v>92754</v>
      </c>
      <c r="G71" s="249">
        <v>54025</v>
      </c>
      <c r="H71" s="249">
        <v>285469</v>
      </c>
    </row>
    <row r="72" spans="3:8" ht="15">
      <c r="C72" s="208" t="s">
        <v>92</v>
      </c>
      <c r="D72" s="249"/>
      <c r="E72" s="249"/>
      <c r="F72" s="249"/>
      <c r="G72" s="249">
        <v>185319.59</v>
      </c>
      <c r="H72" s="249">
        <v>185319.59</v>
      </c>
    </row>
    <row r="73" spans="2:8" ht="15">
      <c r="B73" s="208" t="s">
        <v>69</v>
      </c>
      <c r="C73" s="208" t="s">
        <v>91</v>
      </c>
      <c r="D73" s="249"/>
      <c r="E73" s="249"/>
      <c r="F73" s="249"/>
      <c r="G73" s="249">
        <v>3767.64</v>
      </c>
      <c r="H73" s="249">
        <v>3767.64</v>
      </c>
    </row>
    <row r="74" spans="3:8" ht="15">
      <c r="C74" s="208" t="s">
        <v>89</v>
      </c>
      <c r="D74" s="249">
        <v>2400</v>
      </c>
      <c r="E74" s="249">
        <v>1200</v>
      </c>
      <c r="F74" s="249">
        <v>2400</v>
      </c>
      <c r="G74" s="249">
        <v>2400</v>
      </c>
      <c r="H74" s="249">
        <v>8400</v>
      </c>
    </row>
    <row r="75" spans="3:8" ht="15">
      <c r="C75" s="208" t="s">
        <v>92</v>
      </c>
      <c r="D75" s="249"/>
      <c r="E75" s="249"/>
      <c r="F75" s="249"/>
      <c r="G75" s="249">
        <v>1987.98</v>
      </c>
      <c r="H75" s="249">
        <v>1987.98</v>
      </c>
    </row>
    <row r="76" spans="1:8" ht="15">
      <c r="A76" s="208" t="s">
        <v>176</v>
      </c>
      <c r="B76" s="208"/>
      <c r="C76" s="208"/>
      <c r="D76" s="249">
        <v>162701</v>
      </c>
      <c r="E76" s="249">
        <v>70925</v>
      </c>
      <c r="F76" s="249">
        <v>183747</v>
      </c>
      <c r="G76" s="249">
        <v>620150.39</v>
      </c>
      <c r="H76" s="249">
        <v>1037523.39</v>
      </c>
    </row>
    <row r="77" spans="1:8" ht="15">
      <c r="A77" s="208" t="s">
        <v>56</v>
      </c>
      <c r="C77"/>
      <c r="D77" s="249">
        <v>194786</v>
      </c>
      <c r="E77" s="249">
        <v>101425</v>
      </c>
      <c r="F77" s="249">
        <v>211668</v>
      </c>
      <c r="G77" s="249">
        <v>966405.2099999998</v>
      </c>
      <c r="H77" s="249">
        <v>1474284.21</v>
      </c>
    </row>
    <row r="78" ht="15">
      <c r="C78"/>
    </row>
    <row r="79" ht="15">
      <c r="C79"/>
    </row>
    <row r="80" ht="15">
      <c r="C80"/>
    </row>
    <row r="81" ht="15">
      <c r="C81"/>
    </row>
    <row r="82" ht="15">
      <c r="C82"/>
    </row>
    <row r="83" ht="15">
      <c r="C83"/>
    </row>
    <row r="84" ht="15">
      <c r="C84"/>
    </row>
    <row r="85" ht="15">
      <c r="C85"/>
    </row>
    <row r="86" ht="15">
      <c r="C86"/>
    </row>
    <row r="87" ht="15">
      <c r="C87"/>
    </row>
    <row r="88" ht="15">
      <c r="C88"/>
    </row>
    <row r="89" ht="15">
      <c r="C89"/>
    </row>
    <row r="90" ht="15">
      <c r="C90"/>
    </row>
    <row r="91" ht="15">
      <c r="C91"/>
    </row>
    <row r="92" ht="15">
      <c r="C92"/>
    </row>
    <row r="65534" ht="16.5">
      <c r="C65534" s="205">
        <f>SUM(C1:C65533)</f>
        <v>259999.99999999997</v>
      </c>
    </row>
  </sheetData>
  <sheetProtection/>
  <mergeCells count="5">
    <mergeCell ref="G14:G15"/>
    <mergeCell ref="A2:F2"/>
    <mergeCell ref="A3:F3"/>
    <mergeCell ref="G5:G11"/>
    <mergeCell ref="A20:H26"/>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87"/>
  <sheetViews>
    <sheetView zoomScalePageLayoutView="0" workbookViewId="0" topLeftCell="A37">
      <selection activeCell="A4" sqref="A4"/>
    </sheetView>
  </sheetViews>
  <sheetFormatPr defaultColWidth="9.140625" defaultRowHeight="15"/>
  <cols>
    <col min="1" max="1" width="11.28125" style="50" customWidth="1"/>
    <col min="2" max="2" width="12.421875" style="50" customWidth="1"/>
    <col min="3" max="3" width="18.140625" style="50" customWidth="1"/>
    <col min="4" max="4" width="30.421875" style="50" customWidth="1"/>
    <col min="5" max="5" width="28.28125" style="50" customWidth="1"/>
    <col min="6" max="6" width="23.28125" style="50" customWidth="1"/>
    <col min="7" max="7" width="23.7109375" style="59" customWidth="1"/>
    <col min="8" max="8" width="10.7109375" style="50" bestFit="1" customWidth="1"/>
    <col min="9" max="16384" width="9.140625" style="50" customWidth="1"/>
  </cols>
  <sheetData>
    <row r="1" spans="1:7" ht="12.75">
      <c r="A1" s="256" t="s">
        <v>154</v>
      </c>
      <c r="B1" s="256"/>
      <c r="C1" s="256"/>
      <c r="D1" s="256"/>
      <c r="E1" s="256"/>
      <c r="F1" s="256"/>
      <c r="G1" s="256"/>
    </row>
    <row r="2" spans="1:7" ht="12.75">
      <c r="A2" s="254" t="s">
        <v>1</v>
      </c>
      <c r="B2" s="254"/>
      <c r="C2" s="254"/>
      <c r="D2" s="254"/>
      <c r="E2" s="254"/>
      <c r="F2" s="254"/>
      <c r="G2" s="254"/>
    </row>
    <row r="3" spans="1:7" ht="12.75">
      <c r="A3" s="255" t="s">
        <v>153</v>
      </c>
      <c r="B3" s="255"/>
      <c r="C3" s="255"/>
      <c r="D3" s="255"/>
      <c r="E3" s="255"/>
      <c r="F3" s="255"/>
      <c r="G3" s="255"/>
    </row>
    <row r="4" spans="1:7" ht="15.75" customHeight="1">
      <c r="A4" s="51" t="s">
        <v>63</v>
      </c>
      <c r="B4" s="51" t="s">
        <v>64</v>
      </c>
      <c r="C4" s="52" t="s">
        <v>119</v>
      </c>
      <c r="D4" s="53" t="s">
        <v>120</v>
      </c>
      <c r="E4" s="53" t="s">
        <v>121</v>
      </c>
      <c r="F4" s="54" t="s">
        <v>122</v>
      </c>
      <c r="G4" s="55" t="s">
        <v>123</v>
      </c>
    </row>
    <row r="5" spans="1:7" ht="15.75" customHeight="1">
      <c r="A5" s="72" t="s">
        <v>148</v>
      </c>
      <c r="B5" s="72" t="s">
        <v>83</v>
      </c>
      <c r="C5" s="73" t="s">
        <v>62</v>
      </c>
      <c r="D5" s="57" t="s">
        <v>69</v>
      </c>
      <c r="E5" s="73" t="s">
        <v>89</v>
      </c>
      <c r="F5" s="73" t="s">
        <v>62</v>
      </c>
      <c r="G5" s="74">
        <v>1200</v>
      </c>
    </row>
    <row r="6" spans="1:7" ht="15.75" customHeight="1">
      <c r="A6" s="200" t="s">
        <v>148</v>
      </c>
      <c r="B6" s="72" t="s">
        <v>83</v>
      </c>
      <c r="C6" s="73" t="s">
        <v>58</v>
      </c>
      <c r="D6" s="57" t="s">
        <v>85</v>
      </c>
      <c r="E6" s="73" t="s">
        <v>87</v>
      </c>
      <c r="F6" s="73" t="s">
        <v>55</v>
      </c>
      <c r="G6" s="74">
        <v>1000</v>
      </c>
    </row>
    <row r="7" spans="1:7" ht="15.75" customHeight="1">
      <c r="A7" s="200" t="s">
        <v>148</v>
      </c>
      <c r="B7" s="72" t="s">
        <v>83</v>
      </c>
      <c r="C7" s="73" t="s">
        <v>58</v>
      </c>
      <c r="D7" s="57" t="s">
        <v>65</v>
      </c>
      <c r="E7" s="73" t="s">
        <v>86</v>
      </c>
      <c r="F7" s="73" t="s">
        <v>52</v>
      </c>
      <c r="G7" s="74">
        <v>800</v>
      </c>
    </row>
    <row r="8" spans="1:7" ht="15.75" customHeight="1">
      <c r="A8" s="200" t="s">
        <v>148</v>
      </c>
      <c r="B8" s="72" t="s">
        <v>83</v>
      </c>
      <c r="C8" s="73" t="s">
        <v>62</v>
      </c>
      <c r="D8" s="57" t="s">
        <v>67</v>
      </c>
      <c r="E8" s="73" t="s">
        <v>89</v>
      </c>
      <c r="F8" s="73" t="s">
        <v>62</v>
      </c>
      <c r="G8" s="74">
        <v>36285</v>
      </c>
    </row>
    <row r="9" spans="1:7" ht="15.75" customHeight="1">
      <c r="A9" s="200" t="s">
        <v>148</v>
      </c>
      <c r="B9" s="72" t="s">
        <v>83</v>
      </c>
      <c r="C9" s="73" t="s">
        <v>62</v>
      </c>
      <c r="D9" s="57" t="s">
        <v>68</v>
      </c>
      <c r="E9" s="73" t="s">
        <v>89</v>
      </c>
      <c r="F9" s="73" t="s">
        <v>62</v>
      </c>
      <c r="G9" s="74">
        <v>33440</v>
      </c>
    </row>
    <row r="10" spans="1:7" ht="15.75" customHeight="1">
      <c r="A10" s="200" t="s">
        <v>148</v>
      </c>
      <c r="B10" s="72" t="s">
        <v>83</v>
      </c>
      <c r="C10" s="73" t="s">
        <v>58</v>
      </c>
      <c r="D10" s="57" t="s">
        <v>84</v>
      </c>
      <c r="E10" s="73" t="s">
        <v>88</v>
      </c>
      <c r="F10" s="73" t="s">
        <v>55</v>
      </c>
      <c r="G10" s="74">
        <v>13920</v>
      </c>
    </row>
    <row r="11" spans="1:7" ht="15.75" customHeight="1">
      <c r="A11" s="200" t="s">
        <v>148</v>
      </c>
      <c r="B11" s="72" t="s">
        <v>83</v>
      </c>
      <c r="C11" s="73" t="s">
        <v>58</v>
      </c>
      <c r="D11" s="57" t="s">
        <v>129</v>
      </c>
      <c r="E11" s="73" t="s">
        <v>129</v>
      </c>
      <c r="F11" s="73" t="s">
        <v>52</v>
      </c>
      <c r="G11" s="74">
        <v>2400</v>
      </c>
    </row>
    <row r="12" spans="1:7" ht="15.75" customHeight="1">
      <c r="A12" s="72" t="s">
        <v>147</v>
      </c>
      <c r="B12" s="72" t="s">
        <v>83</v>
      </c>
      <c r="C12" s="73" t="s">
        <v>62</v>
      </c>
      <c r="D12" s="73" t="s">
        <v>69</v>
      </c>
      <c r="E12" s="73" t="s">
        <v>89</v>
      </c>
      <c r="F12" s="73" t="s">
        <v>62</v>
      </c>
      <c r="G12" s="74">
        <v>2400</v>
      </c>
    </row>
    <row r="13" spans="1:7" ht="15.75" customHeight="1">
      <c r="A13" s="200" t="s">
        <v>147</v>
      </c>
      <c r="B13" s="72" t="s">
        <v>83</v>
      </c>
      <c r="C13" s="73" t="s">
        <v>58</v>
      </c>
      <c r="D13" s="73" t="s">
        <v>85</v>
      </c>
      <c r="E13" s="73" t="s">
        <v>87</v>
      </c>
      <c r="F13" s="73" t="s">
        <v>55</v>
      </c>
      <c r="G13" s="74">
        <v>1000</v>
      </c>
    </row>
    <row r="14" spans="1:7" ht="15.75" customHeight="1">
      <c r="A14" s="200" t="s">
        <v>147</v>
      </c>
      <c r="B14" s="72" t="s">
        <v>83</v>
      </c>
      <c r="C14" s="73" t="s">
        <v>58</v>
      </c>
      <c r="D14" s="73" t="s">
        <v>65</v>
      </c>
      <c r="E14" s="73" t="s">
        <v>86</v>
      </c>
      <c r="F14" s="73" t="s">
        <v>52</v>
      </c>
      <c r="G14" s="74">
        <v>1600</v>
      </c>
    </row>
    <row r="15" spans="1:7" ht="15.75" customHeight="1">
      <c r="A15" s="200" t="s">
        <v>147</v>
      </c>
      <c r="B15" s="72" t="s">
        <v>83</v>
      </c>
      <c r="C15" s="73" t="s">
        <v>62</v>
      </c>
      <c r="D15" s="73" t="s">
        <v>67</v>
      </c>
      <c r="E15" s="73" t="s">
        <v>89</v>
      </c>
      <c r="F15" s="73" t="s">
        <v>62</v>
      </c>
      <c r="G15" s="74">
        <f>49558+9756</f>
        <v>59314</v>
      </c>
    </row>
    <row r="16" spans="1:7" ht="15.75" customHeight="1">
      <c r="A16" s="200" t="s">
        <v>147</v>
      </c>
      <c r="B16" s="72" t="s">
        <v>83</v>
      </c>
      <c r="C16" s="73" t="s">
        <v>62</v>
      </c>
      <c r="D16" s="73" t="s">
        <v>68</v>
      </c>
      <c r="E16" s="73" t="s">
        <v>89</v>
      </c>
      <c r="F16" s="73" t="s">
        <v>62</v>
      </c>
      <c r="G16" s="74">
        <f>23264+7252</f>
        <v>30516</v>
      </c>
    </row>
    <row r="17" spans="1:7" ht="15.75" customHeight="1">
      <c r="A17" s="200" t="s">
        <v>147</v>
      </c>
      <c r="B17" s="72" t="s">
        <v>76</v>
      </c>
      <c r="C17" s="73" t="s">
        <v>62</v>
      </c>
      <c r="D17" s="73" t="s">
        <v>67</v>
      </c>
      <c r="E17" s="73" t="s">
        <v>90</v>
      </c>
      <c r="F17" s="73" t="s">
        <v>62</v>
      </c>
      <c r="G17" s="74">
        <v>20244</v>
      </c>
    </row>
    <row r="18" spans="1:7" ht="14.25" customHeight="1">
      <c r="A18" s="200" t="s">
        <v>147</v>
      </c>
      <c r="B18" s="72" t="s">
        <v>76</v>
      </c>
      <c r="C18" s="73" t="s">
        <v>62</v>
      </c>
      <c r="D18" s="73" t="s">
        <v>68</v>
      </c>
      <c r="E18" s="73" t="s">
        <v>90</v>
      </c>
      <c r="F18" s="73" t="s">
        <v>62</v>
      </c>
      <c r="G18" s="74">
        <v>1548</v>
      </c>
    </row>
    <row r="19" spans="1:7" ht="14.25" customHeight="1">
      <c r="A19" s="200" t="s">
        <v>147</v>
      </c>
      <c r="B19" s="72" t="s">
        <v>83</v>
      </c>
      <c r="C19" s="73" t="s">
        <v>58</v>
      </c>
      <c r="D19" s="73" t="s">
        <v>84</v>
      </c>
      <c r="E19" s="73" t="s">
        <v>89</v>
      </c>
      <c r="F19" s="73" t="s">
        <v>55</v>
      </c>
      <c r="G19" s="74">
        <v>10536</v>
      </c>
    </row>
    <row r="20" spans="1:7" ht="14.25" customHeight="1">
      <c r="A20" s="200" t="s">
        <v>147</v>
      </c>
      <c r="B20" s="72" t="s">
        <v>83</v>
      </c>
      <c r="C20" s="73" t="s">
        <v>58</v>
      </c>
      <c r="D20" s="73" t="s">
        <v>129</v>
      </c>
      <c r="E20" s="73" t="s">
        <v>89</v>
      </c>
      <c r="F20" s="73" t="s">
        <v>52</v>
      </c>
      <c r="G20" s="74">
        <v>2400</v>
      </c>
    </row>
    <row r="21" spans="1:7" ht="14.25" customHeight="1">
      <c r="A21" s="200" t="s">
        <v>147</v>
      </c>
      <c r="B21" s="234" t="s">
        <v>83</v>
      </c>
      <c r="C21" s="233" t="s">
        <v>62</v>
      </c>
      <c r="D21" s="234" t="s">
        <v>68</v>
      </c>
      <c r="E21" s="233" t="s">
        <v>89</v>
      </c>
      <c r="F21" s="233" t="s">
        <v>62</v>
      </c>
      <c r="G21" s="235">
        <v>36285</v>
      </c>
    </row>
    <row r="22" spans="1:7" ht="14.25" customHeight="1">
      <c r="A22" s="200" t="s">
        <v>147</v>
      </c>
      <c r="B22" s="234" t="s">
        <v>83</v>
      </c>
      <c r="C22" s="233" t="s">
        <v>62</v>
      </c>
      <c r="D22" s="234" t="s">
        <v>67</v>
      </c>
      <c r="E22" s="233" t="s">
        <v>89</v>
      </c>
      <c r="F22" s="233" t="s">
        <v>62</v>
      </c>
      <c r="G22" s="235">
        <v>33440</v>
      </c>
    </row>
    <row r="23" spans="1:7" ht="14.25" customHeight="1">
      <c r="A23" s="72" t="s">
        <v>145</v>
      </c>
      <c r="B23" s="72" t="s">
        <v>83</v>
      </c>
      <c r="C23" s="73" t="s">
        <v>62</v>
      </c>
      <c r="D23" s="73" t="s">
        <v>69</v>
      </c>
      <c r="E23" s="73" t="s">
        <v>89</v>
      </c>
      <c r="F23" s="73" t="s">
        <v>62</v>
      </c>
      <c r="G23" s="74">
        <v>2400</v>
      </c>
    </row>
    <row r="24" spans="1:7" ht="14.25" customHeight="1">
      <c r="A24" s="200" t="s">
        <v>145</v>
      </c>
      <c r="B24" s="72" t="s">
        <v>83</v>
      </c>
      <c r="C24" s="73" t="s">
        <v>58</v>
      </c>
      <c r="D24" s="73" t="s">
        <v>85</v>
      </c>
      <c r="E24" s="73" t="s">
        <v>87</v>
      </c>
      <c r="F24" s="73" t="s">
        <v>55</v>
      </c>
      <c r="G24" s="74">
        <v>1000</v>
      </c>
    </row>
    <row r="25" spans="1:7" ht="14.25" customHeight="1">
      <c r="A25" s="200" t="s">
        <v>145</v>
      </c>
      <c r="B25" s="72" t="s">
        <v>83</v>
      </c>
      <c r="C25" s="73" t="s">
        <v>58</v>
      </c>
      <c r="D25" s="73" t="s">
        <v>65</v>
      </c>
      <c r="E25" s="73" t="s">
        <v>86</v>
      </c>
      <c r="F25" s="73" t="s">
        <v>52</v>
      </c>
      <c r="G25" s="74">
        <v>1600</v>
      </c>
    </row>
    <row r="26" spans="1:7" ht="14.25" customHeight="1">
      <c r="A26" s="200" t="s">
        <v>145</v>
      </c>
      <c r="B26" s="72" t="s">
        <v>83</v>
      </c>
      <c r="C26" s="73" t="s">
        <v>62</v>
      </c>
      <c r="D26" s="73" t="s">
        <v>67</v>
      </c>
      <c r="E26" s="73" t="s">
        <v>89</v>
      </c>
      <c r="F26" s="73" t="s">
        <v>62</v>
      </c>
      <c r="G26" s="74">
        <v>54025</v>
      </c>
    </row>
    <row r="27" spans="1:7" ht="14.25" customHeight="1">
      <c r="A27" s="200" t="s">
        <v>145</v>
      </c>
      <c r="B27" s="72" t="s">
        <v>83</v>
      </c>
      <c r="C27" s="73" t="s">
        <v>62</v>
      </c>
      <c r="D27" s="73" t="s">
        <v>68</v>
      </c>
      <c r="E27" s="73" t="s">
        <v>89</v>
      </c>
      <c r="F27" s="73" t="s">
        <v>62</v>
      </c>
      <c r="G27" s="74">
        <v>25418</v>
      </c>
    </row>
    <row r="28" spans="1:7" ht="14.25" customHeight="1">
      <c r="A28" s="200" t="s">
        <v>145</v>
      </c>
      <c r="B28" s="72" t="s">
        <v>83</v>
      </c>
      <c r="C28" s="73" t="s">
        <v>58</v>
      </c>
      <c r="D28" s="201" t="s">
        <v>84</v>
      </c>
      <c r="E28" s="73" t="s">
        <v>88</v>
      </c>
      <c r="F28" s="73" t="s">
        <v>55</v>
      </c>
      <c r="G28" s="74">
        <v>14700</v>
      </c>
    </row>
    <row r="29" spans="1:7" ht="14.25" customHeight="1">
      <c r="A29" s="200" t="s">
        <v>145</v>
      </c>
      <c r="B29" s="72" t="s">
        <v>83</v>
      </c>
      <c r="C29" s="73" t="s">
        <v>58</v>
      </c>
      <c r="D29" s="201" t="s">
        <v>129</v>
      </c>
      <c r="E29" s="73" t="s">
        <v>129</v>
      </c>
      <c r="F29" s="73" t="s">
        <v>52</v>
      </c>
      <c r="G29" s="74">
        <v>2400</v>
      </c>
    </row>
    <row r="30" spans="1:7" ht="14.25" customHeight="1">
      <c r="A30" s="200" t="s">
        <v>145</v>
      </c>
      <c r="B30" s="72" t="s">
        <v>83</v>
      </c>
      <c r="C30" s="73" t="s">
        <v>62</v>
      </c>
      <c r="D30" s="200" t="s">
        <v>67</v>
      </c>
      <c r="E30" s="73" t="s">
        <v>89</v>
      </c>
      <c r="F30" s="73" t="s">
        <v>62</v>
      </c>
      <c r="G30" s="74">
        <v>48380</v>
      </c>
    </row>
    <row r="31" spans="1:7" ht="14.25" customHeight="1">
      <c r="A31" s="200" t="s">
        <v>145</v>
      </c>
      <c r="B31" s="72" t="s">
        <v>83</v>
      </c>
      <c r="C31" s="73" t="s">
        <v>62</v>
      </c>
      <c r="D31" s="200" t="s">
        <v>68</v>
      </c>
      <c r="E31" s="73" t="s">
        <v>89</v>
      </c>
      <c r="F31" s="73" t="s">
        <v>62</v>
      </c>
      <c r="G31" s="74">
        <v>32478</v>
      </c>
    </row>
    <row r="32" spans="1:7" ht="14.25" customHeight="1">
      <c r="A32" s="72" t="s">
        <v>146</v>
      </c>
      <c r="B32" s="72" t="s">
        <v>76</v>
      </c>
      <c r="C32" s="73" t="s">
        <v>70</v>
      </c>
      <c r="D32" s="73" t="s">
        <v>66</v>
      </c>
      <c r="E32" s="73" t="s">
        <v>90</v>
      </c>
      <c r="F32" s="73" t="s">
        <v>72</v>
      </c>
      <c r="G32" s="74">
        <v>15.82</v>
      </c>
    </row>
    <row r="33" spans="1:7" ht="14.25" customHeight="1">
      <c r="A33" s="200" t="s">
        <v>146</v>
      </c>
      <c r="B33" s="72" t="s">
        <v>76</v>
      </c>
      <c r="C33" s="73" t="s">
        <v>70</v>
      </c>
      <c r="D33" s="73" t="s">
        <v>131</v>
      </c>
      <c r="E33" s="73" t="s">
        <v>90</v>
      </c>
      <c r="F33" s="73" t="s">
        <v>72</v>
      </c>
      <c r="G33" s="74">
        <v>10855.3</v>
      </c>
    </row>
    <row r="34" spans="1:7" ht="14.25" customHeight="1">
      <c r="A34" s="200" t="s">
        <v>146</v>
      </c>
      <c r="B34" s="72" t="s">
        <v>76</v>
      </c>
      <c r="C34" s="73" t="s">
        <v>62</v>
      </c>
      <c r="D34" s="73" t="s">
        <v>67</v>
      </c>
      <c r="E34" s="73" t="s">
        <v>90</v>
      </c>
      <c r="F34" s="73" t="s">
        <v>62</v>
      </c>
      <c r="G34" s="74">
        <v>16394.76</v>
      </c>
    </row>
    <row r="35" spans="1:7" ht="14.25" customHeight="1">
      <c r="A35" s="200" t="s">
        <v>146</v>
      </c>
      <c r="B35" s="72" t="s">
        <v>76</v>
      </c>
      <c r="C35" s="73" t="s">
        <v>62</v>
      </c>
      <c r="D35" s="73" t="s">
        <v>68</v>
      </c>
      <c r="E35" s="73" t="s">
        <v>90</v>
      </c>
      <c r="F35" s="73" t="s">
        <v>62</v>
      </c>
      <c r="G35" s="74">
        <v>7185.72</v>
      </c>
    </row>
    <row r="36" spans="1:7" ht="14.25" customHeight="1">
      <c r="A36" s="200" t="s">
        <v>146</v>
      </c>
      <c r="B36" s="72" t="s">
        <v>76</v>
      </c>
      <c r="C36" s="73" t="s">
        <v>70</v>
      </c>
      <c r="D36" s="73" t="s">
        <v>73</v>
      </c>
      <c r="E36" s="73" t="s">
        <v>90</v>
      </c>
      <c r="F36" s="73" t="s">
        <v>72</v>
      </c>
      <c r="G36" s="74">
        <v>467.21</v>
      </c>
    </row>
    <row r="37" spans="1:7" ht="14.25" customHeight="1">
      <c r="A37" s="200" t="s">
        <v>146</v>
      </c>
      <c r="B37" s="72" t="s">
        <v>76</v>
      </c>
      <c r="C37" s="73" t="s">
        <v>62</v>
      </c>
      <c r="D37" s="73" t="s">
        <v>74</v>
      </c>
      <c r="E37" s="73" t="s">
        <v>90</v>
      </c>
      <c r="F37" s="73" t="s">
        <v>62</v>
      </c>
      <c r="G37" s="74">
        <v>6401.99</v>
      </c>
    </row>
    <row r="38" spans="1:7" ht="14.25" customHeight="1">
      <c r="A38" s="200" t="s">
        <v>146</v>
      </c>
      <c r="B38" s="72" t="s">
        <v>80</v>
      </c>
      <c r="C38" s="73" t="s">
        <v>62</v>
      </c>
      <c r="D38" s="73" t="s">
        <v>67</v>
      </c>
      <c r="E38" s="73" t="s">
        <v>93</v>
      </c>
      <c r="F38" s="73" t="s">
        <v>62</v>
      </c>
      <c r="G38" s="74">
        <v>9173.09</v>
      </c>
    </row>
    <row r="39" spans="1:7" ht="14.25" customHeight="1">
      <c r="A39" s="200" t="s">
        <v>146</v>
      </c>
      <c r="B39" s="72" t="s">
        <v>80</v>
      </c>
      <c r="C39" s="73" t="s">
        <v>62</v>
      </c>
      <c r="D39" s="73" t="s">
        <v>68</v>
      </c>
      <c r="E39" s="73" t="s">
        <v>93</v>
      </c>
      <c r="F39" s="73" t="s">
        <v>62</v>
      </c>
      <c r="G39" s="74">
        <v>2217.56</v>
      </c>
    </row>
    <row r="40" spans="1:7" ht="14.25" customHeight="1">
      <c r="A40" s="200" t="s">
        <v>146</v>
      </c>
      <c r="B40" s="72" t="s">
        <v>80</v>
      </c>
      <c r="C40" s="73" t="s">
        <v>62</v>
      </c>
      <c r="D40" s="73" t="s">
        <v>74</v>
      </c>
      <c r="E40" s="73" t="s">
        <v>93</v>
      </c>
      <c r="F40" s="73" t="s">
        <v>62</v>
      </c>
      <c r="G40" s="74">
        <v>1733.64</v>
      </c>
    </row>
    <row r="41" spans="1:7" ht="14.25" customHeight="1">
      <c r="A41" s="200" t="s">
        <v>146</v>
      </c>
      <c r="B41" s="72" t="s">
        <v>77</v>
      </c>
      <c r="C41" s="73" t="s">
        <v>62</v>
      </c>
      <c r="D41" s="73" t="s">
        <v>67</v>
      </c>
      <c r="E41" s="73" t="s">
        <v>94</v>
      </c>
      <c r="F41" s="73" t="s">
        <v>62</v>
      </c>
      <c r="G41" s="74">
        <v>12000</v>
      </c>
    </row>
    <row r="42" spans="1:7" ht="14.25" customHeight="1">
      <c r="A42" s="200" t="s">
        <v>146</v>
      </c>
      <c r="B42" s="72" t="s">
        <v>77</v>
      </c>
      <c r="C42" s="73" t="s">
        <v>62</v>
      </c>
      <c r="D42" s="73" t="s">
        <v>68</v>
      </c>
      <c r="E42" s="73" t="s">
        <v>94</v>
      </c>
      <c r="F42" s="73" t="s">
        <v>62</v>
      </c>
      <c r="G42" s="74">
        <v>4000</v>
      </c>
    </row>
    <row r="43" spans="1:7" ht="14.25" customHeight="1">
      <c r="A43" s="200" t="s">
        <v>146</v>
      </c>
      <c r="B43" s="72" t="s">
        <v>77</v>
      </c>
      <c r="C43" s="73" t="s">
        <v>62</v>
      </c>
      <c r="D43" s="73" t="s">
        <v>74</v>
      </c>
      <c r="E43" s="73" t="s">
        <v>94</v>
      </c>
      <c r="F43" s="73" t="s">
        <v>62</v>
      </c>
      <c r="G43" s="74">
        <v>132.06</v>
      </c>
    </row>
    <row r="44" spans="1:7" ht="14.25" customHeight="1">
      <c r="A44" s="200" t="s">
        <v>146</v>
      </c>
      <c r="B44" s="72" t="s">
        <v>78</v>
      </c>
      <c r="C44" s="73" t="s">
        <v>70</v>
      </c>
      <c r="D44" s="73" t="s">
        <v>66</v>
      </c>
      <c r="E44" s="73" t="s">
        <v>91</v>
      </c>
      <c r="F44" s="73" t="s">
        <v>72</v>
      </c>
      <c r="G44" s="74">
        <v>22.02</v>
      </c>
    </row>
    <row r="45" spans="1:7" ht="14.25" customHeight="1">
      <c r="A45" s="200" t="s">
        <v>146</v>
      </c>
      <c r="B45" s="72" t="s">
        <v>78</v>
      </c>
      <c r="C45" s="73" t="s">
        <v>70</v>
      </c>
      <c r="D45" s="73" t="s">
        <v>131</v>
      </c>
      <c r="E45" s="73" t="s">
        <v>91</v>
      </c>
      <c r="F45" s="73" t="s">
        <v>72</v>
      </c>
      <c r="G45" s="74">
        <v>15110.21</v>
      </c>
    </row>
    <row r="46" spans="1:7" ht="14.25" customHeight="1">
      <c r="A46" s="200" t="s">
        <v>146</v>
      </c>
      <c r="B46" s="72" t="s">
        <v>78</v>
      </c>
      <c r="C46" s="73" t="s">
        <v>62</v>
      </c>
      <c r="D46" s="73" t="s">
        <v>67</v>
      </c>
      <c r="E46" s="73" t="s">
        <v>91</v>
      </c>
      <c r="F46" s="73" t="s">
        <v>62</v>
      </c>
      <c r="G46" s="74">
        <v>62825.28</v>
      </c>
    </row>
    <row r="47" spans="1:7" ht="14.25" customHeight="1">
      <c r="A47" s="200" t="s">
        <v>146</v>
      </c>
      <c r="B47" s="72" t="s">
        <v>78</v>
      </c>
      <c r="C47" s="73" t="s">
        <v>62</v>
      </c>
      <c r="D47" s="73" t="s">
        <v>68</v>
      </c>
      <c r="E47" s="73" t="s">
        <v>91</v>
      </c>
      <c r="F47" s="73" t="s">
        <v>62</v>
      </c>
      <c r="G47" s="74">
        <v>14892.48</v>
      </c>
    </row>
    <row r="48" spans="1:7" ht="14.25" customHeight="1">
      <c r="A48" s="200" t="s">
        <v>146</v>
      </c>
      <c r="B48" s="72" t="s">
        <v>78</v>
      </c>
      <c r="C48" s="73" t="s">
        <v>62</v>
      </c>
      <c r="D48" s="201" t="s">
        <v>69</v>
      </c>
      <c r="E48" s="73" t="s">
        <v>91</v>
      </c>
      <c r="F48" s="73" t="s">
        <v>62</v>
      </c>
      <c r="G48" s="74">
        <v>3767.64</v>
      </c>
    </row>
    <row r="49" spans="1:7" ht="14.25" customHeight="1">
      <c r="A49" s="200" t="s">
        <v>146</v>
      </c>
      <c r="B49" s="72" t="s">
        <v>78</v>
      </c>
      <c r="C49" s="73" t="s">
        <v>70</v>
      </c>
      <c r="D49" s="201" t="s">
        <v>73</v>
      </c>
      <c r="E49" s="73" t="s">
        <v>91</v>
      </c>
      <c r="F49" s="73" t="s">
        <v>72</v>
      </c>
      <c r="G49" s="74">
        <v>663.29</v>
      </c>
    </row>
    <row r="50" spans="1:7" ht="14.25" customHeight="1">
      <c r="A50" s="200" t="s">
        <v>146</v>
      </c>
      <c r="B50" s="72" t="s">
        <v>78</v>
      </c>
      <c r="C50" s="73" t="s">
        <v>62</v>
      </c>
      <c r="D50" s="201" t="s">
        <v>74</v>
      </c>
      <c r="E50" s="73" t="s">
        <v>91</v>
      </c>
      <c r="F50" s="73" t="s">
        <v>62</v>
      </c>
      <c r="G50" s="74">
        <v>7602.86</v>
      </c>
    </row>
    <row r="51" spans="1:7" ht="14.25" customHeight="1">
      <c r="A51" s="200" t="s">
        <v>146</v>
      </c>
      <c r="B51" s="72" t="s">
        <v>142</v>
      </c>
      <c r="C51" s="73" t="s">
        <v>62</v>
      </c>
      <c r="D51" s="200" t="s">
        <v>67</v>
      </c>
      <c r="E51" s="73" t="s">
        <v>143</v>
      </c>
      <c r="F51" s="73" t="s">
        <v>62</v>
      </c>
      <c r="G51" s="74">
        <v>62000</v>
      </c>
    </row>
    <row r="52" spans="1:7" ht="14.25" customHeight="1">
      <c r="A52" s="200" t="s">
        <v>146</v>
      </c>
      <c r="B52" s="72" t="s">
        <v>142</v>
      </c>
      <c r="C52" s="73" t="s">
        <v>62</v>
      </c>
      <c r="D52" s="200" t="s">
        <v>68</v>
      </c>
      <c r="E52" s="73" t="s">
        <v>143</v>
      </c>
      <c r="F52" s="73" t="s">
        <v>62</v>
      </c>
      <c r="G52" s="74">
        <v>21000</v>
      </c>
    </row>
    <row r="53" spans="1:11" s="56" customFormat="1" ht="14.25" customHeight="1">
      <c r="A53" s="200" t="s">
        <v>146</v>
      </c>
      <c r="B53" s="202" t="s">
        <v>142</v>
      </c>
      <c r="C53" s="204" t="s">
        <v>70</v>
      </c>
      <c r="D53" s="202" t="s">
        <v>85</v>
      </c>
      <c r="E53" s="204" t="s">
        <v>143</v>
      </c>
      <c r="F53" s="73" t="s">
        <v>72</v>
      </c>
      <c r="G53" s="58">
        <v>2400</v>
      </c>
      <c r="H53" s="50"/>
      <c r="J53" s="50"/>
      <c r="K53" s="50"/>
    </row>
    <row r="54" spans="1:11" s="56" customFormat="1" ht="14.25" customHeight="1">
      <c r="A54" s="200" t="s">
        <v>146</v>
      </c>
      <c r="B54" s="202" t="s">
        <v>79</v>
      </c>
      <c r="C54" s="204" t="s">
        <v>58</v>
      </c>
      <c r="D54" s="204" t="s">
        <v>84</v>
      </c>
      <c r="E54" s="204" t="s">
        <v>84</v>
      </c>
      <c r="F54" s="73" t="s">
        <v>55</v>
      </c>
      <c r="G54" s="58">
        <v>135000</v>
      </c>
      <c r="H54" s="50"/>
      <c r="J54" s="50"/>
      <c r="K54" s="50"/>
    </row>
    <row r="55" spans="1:7" s="56" customFormat="1" ht="14.25" customHeight="1">
      <c r="A55" s="200" t="s">
        <v>146</v>
      </c>
      <c r="B55" s="202" t="s">
        <v>79</v>
      </c>
      <c r="C55" s="204" t="s">
        <v>70</v>
      </c>
      <c r="D55" s="204" t="s">
        <v>66</v>
      </c>
      <c r="E55" s="204" t="s">
        <v>92</v>
      </c>
      <c r="F55" s="73" t="s">
        <v>72</v>
      </c>
      <c r="G55" s="58">
        <v>109.74</v>
      </c>
    </row>
    <row r="56" spans="1:7" s="56" customFormat="1" ht="14.25" customHeight="1">
      <c r="A56" s="200" t="s">
        <v>146</v>
      </c>
      <c r="B56" s="202" t="s">
        <v>79</v>
      </c>
      <c r="C56" s="204" t="s">
        <v>70</v>
      </c>
      <c r="D56" s="204" t="s">
        <v>73</v>
      </c>
      <c r="E56" s="204" t="s">
        <v>92</v>
      </c>
      <c r="F56" s="73" t="s">
        <v>72</v>
      </c>
      <c r="G56" s="58">
        <v>75317.06</v>
      </c>
    </row>
    <row r="57" spans="1:7" s="56" customFormat="1" ht="14.25" customHeight="1">
      <c r="A57" s="200" t="s">
        <v>146</v>
      </c>
      <c r="B57" s="202" t="s">
        <v>79</v>
      </c>
      <c r="C57" s="204" t="s">
        <v>62</v>
      </c>
      <c r="D57" s="204" t="s">
        <v>67</v>
      </c>
      <c r="E57" s="204" t="s">
        <v>92</v>
      </c>
      <c r="F57" s="73" t="s">
        <v>62</v>
      </c>
      <c r="G57" s="58">
        <v>185319.59</v>
      </c>
    </row>
    <row r="58" spans="1:7" s="56" customFormat="1" ht="14.25" customHeight="1">
      <c r="A58" s="200" t="s">
        <v>146</v>
      </c>
      <c r="B58" s="202" t="s">
        <v>79</v>
      </c>
      <c r="C58" s="204" t="s">
        <v>62</v>
      </c>
      <c r="D58" s="204" t="s">
        <v>68</v>
      </c>
      <c r="E58" s="204" t="s">
        <v>92</v>
      </c>
      <c r="F58" s="73" t="s">
        <v>62</v>
      </c>
      <c r="G58" s="58">
        <v>71935.77</v>
      </c>
    </row>
    <row r="59" spans="1:7" s="56" customFormat="1" ht="14.25" customHeight="1">
      <c r="A59" s="200" t="s">
        <v>146</v>
      </c>
      <c r="B59" s="202" t="s">
        <v>79</v>
      </c>
      <c r="C59" s="204" t="s">
        <v>62</v>
      </c>
      <c r="D59" s="204" t="s">
        <v>69</v>
      </c>
      <c r="E59" s="204" t="s">
        <v>92</v>
      </c>
      <c r="F59" s="73" t="s">
        <v>62</v>
      </c>
      <c r="G59" s="58">
        <v>1987.98</v>
      </c>
    </row>
    <row r="60" spans="1:7" s="56" customFormat="1" ht="14.25" customHeight="1">
      <c r="A60" s="200" t="s">
        <v>146</v>
      </c>
      <c r="B60" s="202" t="s">
        <v>79</v>
      </c>
      <c r="C60" s="204" t="s">
        <v>58</v>
      </c>
      <c r="D60" s="204" t="s">
        <v>65</v>
      </c>
      <c r="E60" s="204" t="s">
        <v>92</v>
      </c>
      <c r="F60" s="73" t="s">
        <v>52</v>
      </c>
      <c r="G60" s="58">
        <v>5000</v>
      </c>
    </row>
    <row r="61" spans="1:7" ht="12.75">
      <c r="A61" s="200" t="s">
        <v>146</v>
      </c>
      <c r="B61" s="202" t="s">
        <v>79</v>
      </c>
      <c r="C61" s="204" t="s">
        <v>70</v>
      </c>
      <c r="D61" s="204" t="s">
        <v>132</v>
      </c>
      <c r="E61" s="204" t="s">
        <v>92</v>
      </c>
      <c r="F61" s="73" t="s">
        <v>72</v>
      </c>
      <c r="G61" s="74">
        <v>355.01</v>
      </c>
    </row>
    <row r="62" spans="1:7" ht="12.75">
      <c r="A62" s="200" t="s">
        <v>146</v>
      </c>
      <c r="B62" s="72" t="s">
        <v>79</v>
      </c>
      <c r="C62" s="73" t="s">
        <v>70</v>
      </c>
      <c r="D62" s="204" t="s">
        <v>73</v>
      </c>
      <c r="E62" s="73" t="s">
        <v>92</v>
      </c>
      <c r="F62" s="73" t="s">
        <v>72</v>
      </c>
      <c r="G62" s="74">
        <v>3089.16</v>
      </c>
    </row>
    <row r="63" spans="1:7" ht="12.75">
      <c r="A63" s="200" t="s">
        <v>146</v>
      </c>
      <c r="B63" s="72" t="s">
        <v>79</v>
      </c>
      <c r="C63" s="73" t="s">
        <v>62</v>
      </c>
      <c r="D63" s="204" t="s">
        <v>74</v>
      </c>
      <c r="E63" s="73" t="s">
        <v>92</v>
      </c>
      <c r="F63" s="73" t="s">
        <v>140</v>
      </c>
      <c r="G63" s="74">
        <v>39085.97</v>
      </c>
    </row>
    <row r="64" spans="1:7" ht="12.75">
      <c r="A64" s="200" t="s">
        <v>146</v>
      </c>
      <c r="B64" s="72" t="s">
        <v>83</v>
      </c>
      <c r="C64" s="73" t="s">
        <v>58</v>
      </c>
      <c r="D64" s="204" t="s">
        <v>129</v>
      </c>
      <c r="E64" s="73" t="s">
        <v>89</v>
      </c>
      <c r="F64" s="73" t="s">
        <v>52</v>
      </c>
      <c r="G64" s="74">
        <v>2400</v>
      </c>
    </row>
    <row r="65" spans="1:7" ht="12.75">
      <c r="A65" s="200" t="s">
        <v>146</v>
      </c>
      <c r="B65" s="200" t="s">
        <v>83</v>
      </c>
      <c r="C65" s="201" t="s">
        <v>62</v>
      </c>
      <c r="D65" s="204" t="s">
        <v>67</v>
      </c>
      <c r="E65" s="201" t="s">
        <v>89</v>
      </c>
      <c r="F65" s="201" t="s">
        <v>62</v>
      </c>
      <c r="G65" s="203">
        <v>54025</v>
      </c>
    </row>
    <row r="66" spans="1:7" ht="12.75">
      <c r="A66" s="200" t="s">
        <v>146</v>
      </c>
      <c r="B66" s="200" t="s">
        <v>83</v>
      </c>
      <c r="C66" s="201" t="s">
        <v>62</v>
      </c>
      <c r="D66" s="204" t="s">
        <v>68</v>
      </c>
      <c r="E66" s="201" t="s">
        <v>89</v>
      </c>
      <c r="F66" s="201" t="s">
        <v>62</v>
      </c>
      <c r="G66" s="203">
        <v>34069</v>
      </c>
    </row>
    <row r="67" spans="1:7" ht="12.75">
      <c r="A67" s="200" t="s">
        <v>146</v>
      </c>
      <c r="B67" s="200" t="s">
        <v>83</v>
      </c>
      <c r="C67" s="201" t="s">
        <v>58</v>
      </c>
      <c r="D67" s="204" t="s">
        <v>85</v>
      </c>
      <c r="E67" s="201" t="s">
        <v>89</v>
      </c>
      <c r="F67" s="201" t="s">
        <v>55</v>
      </c>
      <c r="G67" s="203">
        <v>1000</v>
      </c>
    </row>
    <row r="68" spans="1:7" ht="12.75">
      <c r="A68" s="200" t="s">
        <v>146</v>
      </c>
      <c r="B68" s="200" t="s">
        <v>83</v>
      </c>
      <c r="C68" s="201" t="s">
        <v>58</v>
      </c>
      <c r="D68" s="204" t="s">
        <v>65</v>
      </c>
      <c r="E68" s="201" t="s">
        <v>86</v>
      </c>
      <c r="F68" s="201" t="s">
        <v>52</v>
      </c>
      <c r="G68" s="203">
        <v>1600</v>
      </c>
    </row>
    <row r="69" spans="1:7" ht="12.75">
      <c r="A69" s="200" t="s">
        <v>146</v>
      </c>
      <c r="B69" s="200" t="s">
        <v>83</v>
      </c>
      <c r="C69" s="201" t="s">
        <v>62</v>
      </c>
      <c r="D69" s="202" t="s">
        <v>69</v>
      </c>
      <c r="E69" s="201" t="s">
        <v>89</v>
      </c>
      <c r="F69" s="201" t="s">
        <v>62</v>
      </c>
      <c r="G69" s="203">
        <v>2400</v>
      </c>
    </row>
    <row r="70" spans="1:7" ht="12.75">
      <c r="A70" s="200" t="s">
        <v>146</v>
      </c>
      <c r="B70" s="200" t="s">
        <v>83</v>
      </c>
      <c r="C70" s="201" t="s">
        <v>75</v>
      </c>
      <c r="D70" s="202" t="s">
        <v>74</v>
      </c>
      <c r="E70" s="201" t="s">
        <v>141</v>
      </c>
      <c r="F70" s="201" t="s">
        <v>52</v>
      </c>
      <c r="G70" s="203">
        <v>17850</v>
      </c>
    </row>
    <row r="71" spans="1:7" ht="12.75">
      <c r="A71" s="200" t="s">
        <v>146</v>
      </c>
      <c r="B71" s="200" t="s">
        <v>83</v>
      </c>
      <c r="C71" s="201" t="s">
        <v>75</v>
      </c>
      <c r="D71" s="202" t="s">
        <v>67</v>
      </c>
      <c r="E71" s="201" t="s">
        <v>141</v>
      </c>
      <c r="F71" s="201" t="s">
        <v>52</v>
      </c>
      <c r="G71" s="203">
        <v>75000</v>
      </c>
    </row>
    <row r="72" spans="1:7" s="202" customFormat="1" ht="12.75">
      <c r="A72" s="200" t="s">
        <v>147</v>
      </c>
      <c r="B72" s="200" t="s">
        <v>83</v>
      </c>
      <c r="C72" s="201" t="s">
        <v>75</v>
      </c>
      <c r="D72" s="202" t="s">
        <v>74</v>
      </c>
      <c r="E72" s="201" t="s">
        <v>141</v>
      </c>
      <c r="F72" s="201" t="s">
        <v>52</v>
      </c>
      <c r="G72" s="203">
        <v>2385</v>
      </c>
    </row>
    <row r="73" spans="1:7" s="202" customFormat="1" ht="12.75">
      <c r="A73" s="200" t="s">
        <v>147</v>
      </c>
      <c r="B73" s="200" t="s">
        <v>83</v>
      </c>
      <c r="C73" s="201" t="s">
        <v>75</v>
      </c>
      <c r="D73" s="202" t="s">
        <v>67</v>
      </c>
      <c r="E73" s="201" t="s">
        <v>141</v>
      </c>
      <c r="F73" s="201" t="s">
        <v>52</v>
      </c>
      <c r="G73" s="203">
        <v>10000</v>
      </c>
    </row>
    <row r="74" spans="1:7" s="202" customFormat="1" ht="12.75">
      <c r="A74" s="200" t="s">
        <v>145</v>
      </c>
      <c r="B74" s="200" t="s">
        <v>83</v>
      </c>
      <c r="C74" s="201" t="s">
        <v>75</v>
      </c>
      <c r="D74" s="202" t="s">
        <v>74</v>
      </c>
      <c r="E74" s="201" t="s">
        <v>141</v>
      </c>
      <c r="F74" s="201" t="s">
        <v>52</v>
      </c>
      <c r="G74" s="203">
        <v>2385</v>
      </c>
    </row>
    <row r="75" spans="1:7" s="202" customFormat="1" ht="12.75">
      <c r="A75" s="200" t="s">
        <v>145</v>
      </c>
      <c r="B75" s="200" t="s">
        <v>83</v>
      </c>
      <c r="C75" s="201" t="s">
        <v>75</v>
      </c>
      <c r="D75" s="202" t="s">
        <v>67</v>
      </c>
      <c r="E75" s="201" t="s">
        <v>141</v>
      </c>
      <c r="F75" s="201" t="s">
        <v>52</v>
      </c>
      <c r="G75" s="203">
        <v>10000</v>
      </c>
    </row>
    <row r="76" spans="1:7" s="202" customFormat="1" ht="12.75">
      <c r="A76" s="200" t="s">
        <v>148</v>
      </c>
      <c r="B76" s="200" t="s">
        <v>83</v>
      </c>
      <c r="C76" s="201" t="s">
        <v>75</v>
      </c>
      <c r="D76" s="202" t="s">
        <v>74</v>
      </c>
      <c r="E76" s="201" t="s">
        <v>141</v>
      </c>
      <c r="F76" s="201" t="s">
        <v>52</v>
      </c>
      <c r="G76" s="203">
        <v>2380</v>
      </c>
    </row>
    <row r="77" spans="1:7" ht="12.75">
      <c r="A77" s="200" t="s">
        <v>148</v>
      </c>
      <c r="B77" s="200" t="s">
        <v>83</v>
      </c>
      <c r="C77" s="201" t="s">
        <v>75</v>
      </c>
      <c r="D77" s="202" t="s">
        <v>67</v>
      </c>
      <c r="E77" s="201" t="s">
        <v>141</v>
      </c>
      <c r="F77" s="201" t="s">
        <v>52</v>
      </c>
      <c r="G77" s="203">
        <v>10000</v>
      </c>
    </row>
    <row r="78" spans="6:7" ht="15">
      <c r="F78" s="71" t="s">
        <v>0</v>
      </c>
      <c r="G78" s="241">
        <f>SUM(G5:G77)</f>
        <v>1474284.21</v>
      </c>
    </row>
    <row r="80" spans="1:4" ht="12.75">
      <c r="A80" s="257" t="s">
        <v>156</v>
      </c>
      <c r="B80" s="257"/>
      <c r="C80" s="257"/>
      <c r="D80" s="257"/>
    </row>
    <row r="81" spans="1:4" ht="12.75">
      <c r="A81" s="257"/>
      <c r="B81" s="257"/>
      <c r="C81" s="257"/>
      <c r="D81" s="257"/>
    </row>
    <row r="82" spans="1:4" ht="12.75">
      <c r="A82" s="257"/>
      <c r="B82" s="257"/>
      <c r="C82" s="257"/>
      <c r="D82" s="257"/>
    </row>
    <row r="83" spans="1:4" ht="12.75">
      <c r="A83" s="257"/>
      <c r="B83" s="257"/>
      <c r="C83" s="257"/>
      <c r="D83" s="257"/>
    </row>
    <row r="84" spans="1:4" ht="12.75">
      <c r="A84" s="257"/>
      <c r="B84" s="257"/>
      <c r="C84" s="257"/>
      <c r="D84" s="257"/>
    </row>
    <row r="85" spans="1:4" ht="12.75">
      <c r="A85" s="257"/>
      <c r="B85" s="257"/>
      <c r="C85" s="257"/>
      <c r="D85" s="257"/>
    </row>
    <row r="86" spans="1:4" ht="12.75">
      <c r="A86" s="257"/>
      <c r="B86" s="257"/>
      <c r="C86" s="257"/>
      <c r="D86" s="257"/>
    </row>
    <row r="87" spans="1:4" ht="12.75">
      <c r="A87" s="257"/>
      <c r="B87" s="257"/>
      <c r="C87" s="257"/>
      <c r="D87" s="257"/>
    </row>
  </sheetData>
  <sheetProtection/>
  <mergeCells count="4">
    <mergeCell ref="A2:G2"/>
    <mergeCell ref="A3:G3"/>
    <mergeCell ref="A1:G1"/>
    <mergeCell ref="A80:D87"/>
  </mergeCells>
  <printOptions/>
  <pageMargins left="0" right="0" top="0" bottom="0" header="0" footer="0"/>
  <pageSetup horizontalDpi="600" verticalDpi="600" orientation="landscape" scale="82" r:id="rId2"/>
  <tableParts>
    <tablePart r:id="rId1"/>
  </tableParts>
</worksheet>
</file>

<file path=xl/worksheets/sheet3.xml><?xml version="1.0" encoding="utf-8"?>
<worksheet xmlns="http://schemas.openxmlformats.org/spreadsheetml/2006/main" xmlns:r="http://schemas.openxmlformats.org/officeDocument/2006/relationships">
  <dimension ref="A1:C16"/>
  <sheetViews>
    <sheetView zoomScalePageLayoutView="0" workbookViewId="0" topLeftCell="A1">
      <selection activeCell="C40" sqref="C40"/>
    </sheetView>
  </sheetViews>
  <sheetFormatPr defaultColWidth="9.140625" defaultRowHeight="15"/>
  <cols>
    <col min="1" max="1" width="32.28125" style="0" bestFit="1" customWidth="1"/>
    <col min="2" max="2" width="14.28125" style="0" customWidth="1"/>
    <col min="3" max="3" width="9.140625" style="41" customWidth="1"/>
  </cols>
  <sheetData>
    <row r="1" spans="1:2" ht="15">
      <c r="A1" s="42" t="s">
        <v>50</v>
      </c>
      <c r="B1" t="s">
        <v>60</v>
      </c>
    </row>
    <row r="2" spans="1:2" ht="15">
      <c r="A2" s="43" t="s">
        <v>51</v>
      </c>
      <c r="B2" s="40">
        <v>680312</v>
      </c>
    </row>
    <row r="3" spans="1:3" ht="15">
      <c r="A3" s="44" t="s">
        <v>57</v>
      </c>
      <c r="B3" s="40">
        <v>347496</v>
      </c>
      <c r="C3" s="41">
        <f>GETPIVOTDATA("Cost",$A$1,"Cost Category","Career Services","Allocation Base","Customers Served")/GETPIVOTDATA("Cost",$A$1,"Allocation Base","Customers Served")</f>
        <v>0.5107891673232282</v>
      </c>
    </row>
    <row r="4" spans="1:3" ht="15">
      <c r="A4" s="44" t="s">
        <v>58</v>
      </c>
      <c r="B4" s="40">
        <v>126862</v>
      </c>
      <c r="C4" s="41">
        <f>GETPIVOTDATA("Cost",$A$1,"Cost Category","Infrastructure Costs","Allocation Base","Customers Served")/GETPIVOTDATA("Cost",$A$1,"Allocation Base","Customers Served")</f>
        <v>0.18647620503533674</v>
      </c>
    </row>
    <row r="5" spans="1:3" ht="15">
      <c r="A5" s="44" t="s">
        <v>59</v>
      </c>
      <c r="B5" s="40">
        <v>205954</v>
      </c>
      <c r="C5" s="41">
        <f>GETPIVOTDATA("Cost",$A$1,"Cost Category","Shared Services","Allocation Base","Customers Served")/GETPIVOTDATA("Cost",$A$1,"Allocation Base","Customers Served")</f>
        <v>0.3027346276414351</v>
      </c>
    </row>
    <row r="6" spans="1:2" ht="15">
      <c r="A6" s="43" t="s">
        <v>52</v>
      </c>
      <c r="B6" s="40">
        <v>203254</v>
      </c>
    </row>
    <row r="7" spans="1:2" ht="15">
      <c r="A7" s="44" t="s">
        <v>58</v>
      </c>
      <c r="B7" s="40">
        <v>84254</v>
      </c>
    </row>
    <row r="8" spans="1:2" ht="15">
      <c r="A8" s="44" t="s">
        <v>59</v>
      </c>
      <c r="B8" s="40">
        <v>119000</v>
      </c>
    </row>
    <row r="9" spans="1:2" ht="15">
      <c r="A9" s="43" t="s">
        <v>53</v>
      </c>
      <c r="B9" s="40">
        <v>3693</v>
      </c>
    </row>
    <row r="10" spans="1:2" ht="15">
      <c r="A10" s="44" t="s">
        <v>58</v>
      </c>
      <c r="B10" s="40">
        <v>3693</v>
      </c>
    </row>
    <row r="11" spans="1:2" ht="15">
      <c r="A11" s="43" t="s">
        <v>54</v>
      </c>
      <c r="B11" s="40">
        <v>7037</v>
      </c>
    </row>
    <row r="12" spans="1:2" ht="15">
      <c r="A12" s="44" t="s">
        <v>58</v>
      </c>
      <c r="B12" s="40">
        <v>7037</v>
      </c>
    </row>
    <row r="13" spans="1:2" ht="15">
      <c r="A13" s="43" t="s">
        <v>55</v>
      </c>
      <c r="B13" s="40">
        <v>355910</v>
      </c>
    </row>
    <row r="14" spans="1:2" ht="15">
      <c r="A14" s="44" t="s">
        <v>58</v>
      </c>
      <c r="B14" s="40">
        <v>283377</v>
      </c>
    </row>
    <row r="15" spans="1:2" ht="15">
      <c r="A15" s="44" t="s">
        <v>59</v>
      </c>
      <c r="B15" s="40">
        <v>72533</v>
      </c>
    </row>
    <row r="16" spans="1:2" ht="15">
      <c r="A16" s="43" t="s">
        <v>56</v>
      </c>
      <c r="B16" s="40">
        <v>1250206</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30"/>
  <sheetViews>
    <sheetView zoomScalePageLayoutView="0" workbookViewId="0" topLeftCell="A1">
      <selection activeCell="A2" sqref="A2"/>
    </sheetView>
  </sheetViews>
  <sheetFormatPr defaultColWidth="9.140625" defaultRowHeight="15"/>
  <cols>
    <col min="1" max="1" width="33.140625" style="0" customWidth="1"/>
    <col min="2" max="2" width="16.28125" style="0" customWidth="1"/>
    <col min="3" max="3" width="18.8515625" style="0" customWidth="1"/>
    <col min="4" max="6" width="10.7109375" style="0" customWidth="1"/>
    <col min="7" max="7" width="10.7109375" style="0" bestFit="1" customWidth="1"/>
    <col min="8" max="8" width="11.28125" style="0" bestFit="1" customWidth="1"/>
  </cols>
  <sheetData>
    <row r="1" ht="15">
      <c r="A1" t="s">
        <v>171</v>
      </c>
    </row>
    <row r="3" spans="1:5" ht="20.25" customHeight="1">
      <c r="A3" s="42" t="s">
        <v>50</v>
      </c>
      <c r="B3" t="s">
        <v>60</v>
      </c>
      <c r="D3" s="4"/>
      <c r="E3" s="4"/>
    </row>
    <row r="4" spans="1:9" ht="18" customHeight="1">
      <c r="A4" s="43" t="s">
        <v>72</v>
      </c>
      <c r="B4" s="214">
        <v>108404.81999999999</v>
      </c>
      <c r="C4" s="189"/>
      <c r="D4" s="3"/>
      <c r="E4" s="258" t="s">
        <v>157</v>
      </c>
      <c r="F4" s="258"/>
      <c r="G4" s="258"/>
      <c r="H4" s="258"/>
      <c r="I4" s="258"/>
    </row>
    <row r="5" spans="1:9" ht="16.5" customHeight="1">
      <c r="A5" s="44" t="s">
        <v>70</v>
      </c>
      <c r="B5" s="214">
        <v>108404.81999999999</v>
      </c>
      <c r="C5" s="190"/>
      <c r="D5" s="3"/>
      <c r="E5" s="258"/>
      <c r="F5" s="258"/>
      <c r="G5" s="258"/>
      <c r="H5" s="258"/>
      <c r="I5" s="258"/>
    </row>
    <row r="6" spans="1:9" ht="16.5" customHeight="1">
      <c r="A6" s="188" t="s">
        <v>146</v>
      </c>
      <c r="B6" s="214">
        <v>108404.81999999999</v>
      </c>
      <c r="C6" s="189"/>
      <c r="D6" s="3"/>
      <c r="E6" s="258"/>
      <c r="F6" s="258"/>
      <c r="G6" s="258"/>
      <c r="H6" s="258"/>
      <c r="I6" s="258"/>
    </row>
    <row r="7" spans="1:9" ht="16.5" customHeight="1">
      <c r="A7" s="43" t="s">
        <v>52</v>
      </c>
      <c r="B7" s="214">
        <v>150200</v>
      </c>
      <c r="C7" s="191"/>
      <c r="D7" s="3"/>
      <c r="E7" s="258"/>
      <c r="F7" s="258"/>
      <c r="G7" s="258"/>
      <c r="H7" s="258"/>
      <c r="I7" s="258"/>
    </row>
    <row r="8" spans="1:9" ht="16.5" customHeight="1">
      <c r="A8" s="44" t="s">
        <v>75</v>
      </c>
      <c r="B8" s="214">
        <v>130000</v>
      </c>
      <c r="C8" s="192"/>
      <c r="D8" s="3"/>
      <c r="E8" s="258"/>
      <c r="F8" s="258"/>
      <c r="G8" s="258"/>
      <c r="H8" s="258"/>
      <c r="I8" s="258"/>
    </row>
    <row r="9" spans="1:9" ht="16.5" customHeight="1">
      <c r="A9" s="188" t="s">
        <v>148</v>
      </c>
      <c r="B9" s="214">
        <v>12380</v>
      </c>
      <c r="C9" s="198">
        <f>B9+B14</f>
        <v>15580</v>
      </c>
      <c r="D9" s="199">
        <f>B9/C9</f>
        <v>0.7946084724005135</v>
      </c>
      <c r="E9" s="258"/>
      <c r="F9" s="258"/>
      <c r="G9" s="258"/>
      <c r="H9" s="258"/>
      <c r="I9" s="258"/>
    </row>
    <row r="10" spans="1:9" ht="15">
      <c r="A10" s="188" t="s">
        <v>147</v>
      </c>
      <c r="B10" s="214">
        <v>12385</v>
      </c>
      <c r="C10" s="198">
        <f>B10+B15</f>
        <v>16385</v>
      </c>
      <c r="D10" s="199">
        <f>B10/C10</f>
        <v>0.7558742752517547</v>
      </c>
      <c r="E10" s="258"/>
      <c r="F10" s="258"/>
      <c r="G10" s="258"/>
      <c r="H10" s="258"/>
      <c r="I10" s="258"/>
    </row>
    <row r="11" spans="1:9" ht="16.5" customHeight="1">
      <c r="A11" s="188" t="s">
        <v>145</v>
      </c>
      <c r="B11" s="214">
        <v>12385</v>
      </c>
      <c r="C11" s="198">
        <f>B11+B16</f>
        <v>16385</v>
      </c>
      <c r="D11" s="199">
        <f>B11/C11</f>
        <v>0.7558742752517547</v>
      </c>
      <c r="E11" s="258"/>
      <c r="F11" s="258"/>
      <c r="G11" s="258"/>
      <c r="H11" s="258"/>
      <c r="I11" s="258"/>
    </row>
    <row r="12" spans="1:9" ht="16.5" customHeight="1">
      <c r="A12" s="188" t="s">
        <v>146</v>
      </c>
      <c r="B12" s="214">
        <v>92850</v>
      </c>
      <c r="C12" s="198">
        <f>B12+B17</f>
        <v>101850</v>
      </c>
      <c r="D12" s="199">
        <f>B12/C12</f>
        <v>0.9116347569955817</v>
      </c>
      <c r="E12" s="258"/>
      <c r="F12" s="258"/>
      <c r="G12" s="258"/>
      <c r="H12" s="258"/>
      <c r="I12" s="258"/>
    </row>
    <row r="13" spans="1:9" ht="16.5" customHeight="1">
      <c r="A13" s="44" t="s">
        <v>58</v>
      </c>
      <c r="B13" s="214">
        <v>20200</v>
      </c>
      <c r="C13" s="61"/>
      <c r="D13" s="3"/>
      <c r="E13" s="258"/>
      <c r="F13" s="258"/>
      <c r="G13" s="258"/>
      <c r="H13" s="258"/>
      <c r="I13" s="258"/>
    </row>
    <row r="14" spans="1:5" ht="16.5" customHeight="1">
      <c r="A14" s="188" t="s">
        <v>148</v>
      </c>
      <c r="B14" s="214">
        <v>3200</v>
      </c>
      <c r="C14" s="60"/>
      <c r="D14" s="199">
        <f>B14/C9</f>
        <v>0.20539152759948653</v>
      </c>
      <c r="E14" s="3"/>
    </row>
    <row r="15" spans="1:5" ht="16.5" customHeight="1">
      <c r="A15" s="188" t="s">
        <v>147</v>
      </c>
      <c r="B15" s="214">
        <v>4000</v>
      </c>
      <c r="C15" s="61"/>
      <c r="D15" s="199">
        <f>B15/C10</f>
        <v>0.24412572474824534</v>
      </c>
      <c r="E15" s="3"/>
    </row>
    <row r="16" spans="1:5" ht="16.5" customHeight="1">
      <c r="A16" s="188" t="s">
        <v>145</v>
      </c>
      <c r="B16" s="214">
        <v>4000</v>
      </c>
      <c r="C16" s="60"/>
      <c r="D16" s="199">
        <f>B16/C11</f>
        <v>0.24412572474824534</v>
      </c>
      <c r="E16" s="3"/>
    </row>
    <row r="17" spans="1:5" ht="16.5" customHeight="1">
      <c r="A17" s="188" t="s">
        <v>146</v>
      </c>
      <c r="B17" s="214">
        <v>9000</v>
      </c>
      <c r="C17" s="61"/>
      <c r="D17" s="199">
        <f>B17/C12</f>
        <v>0.08836524300441827</v>
      </c>
      <c r="E17" s="3"/>
    </row>
    <row r="18" spans="1:5" ht="16.5" customHeight="1">
      <c r="A18" s="43" t="s">
        <v>62</v>
      </c>
      <c r="B18" s="214">
        <v>1037523.39</v>
      </c>
      <c r="C18" s="41"/>
      <c r="D18" s="3"/>
      <c r="E18" s="3"/>
    </row>
    <row r="19" spans="1:5" ht="16.5" customHeight="1">
      <c r="A19" s="44" t="s">
        <v>62</v>
      </c>
      <c r="B19" s="214">
        <v>1037523.39</v>
      </c>
      <c r="D19" s="3"/>
      <c r="E19" s="3"/>
    </row>
    <row r="20" spans="1:5" ht="16.5" customHeight="1">
      <c r="A20" s="188" t="s">
        <v>148</v>
      </c>
      <c r="B20" s="214">
        <v>70925</v>
      </c>
      <c r="D20" s="3"/>
      <c r="E20" s="3"/>
    </row>
    <row r="21" spans="1:2" ht="15">
      <c r="A21" s="188" t="s">
        <v>147</v>
      </c>
      <c r="B21" s="214">
        <v>183747</v>
      </c>
    </row>
    <row r="22" spans="1:2" ht="15">
      <c r="A22" s="188" t="s">
        <v>145</v>
      </c>
      <c r="B22" s="214">
        <v>162701</v>
      </c>
    </row>
    <row r="23" spans="1:2" ht="15">
      <c r="A23" s="188" t="s">
        <v>146</v>
      </c>
      <c r="B23" s="214">
        <v>620150.39</v>
      </c>
    </row>
    <row r="24" spans="1:2" ht="15">
      <c r="A24" s="43" t="s">
        <v>55</v>
      </c>
      <c r="B24" s="214">
        <v>178156</v>
      </c>
    </row>
    <row r="25" spans="1:2" ht="15">
      <c r="A25" s="44" t="s">
        <v>58</v>
      </c>
      <c r="B25" s="214">
        <v>178156</v>
      </c>
    </row>
    <row r="26" spans="1:2" ht="15">
      <c r="A26" s="188" t="s">
        <v>148</v>
      </c>
      <c r="B26" s="214">
        <v>14920</v>
      </c>
    </row>
    <row r="27" spans="1:2" ht="15">
      <c r="A27" s="188" t="s">
        <v>147</v>
      </c>
      <c r="B27" s="214">
        <v>11536</v>
      </c>
    </row>
    <row r="28" spans="1:2" ht="15">
      <c r="A28" s="188" t="s">
        <v>145</v>
      </c>
      <c r="B28" s="214">
        <v>15700</v>
      </c>
    </row>
    <row r="29" spans="1:2" ht="15">
      <c r="A29" s="188" t="s">
        <v>146</v>
      </c>
      <c r="B29" s="214">
        <v>136000</v>
      </c>
    </row>
    <row r="30" spans="1:2" ht="15">
      <c r="A30" s="43" t="s">
        <v>56</v>
      </c>
      <c r="B30" s="214">
        <v>1474284.21</v>
      </c>
    </row>
  </sheetData>
  <sheetProtection/>
  <mergeCells count="1">
    <mergeCell ref="E4:I13"/>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H32"/>
  <sheetViews>
    <sheetView zoomScalePageLayoutView="0" workbookViewId="0" topLeftCell="A1">
      <selection activeCell="I35" sqref="I35"/>
    </sheetView>
  </sheetViews>
  <sheetFormatPr defaultColWidth="9.140625" defaultRowHeight="15"/>
  <cols>
    <col min="1" max="1" width="15.140625" style="46" customWidth="1"/>
    <col min="2" max="2" width="8.8515625" style="46" customWidth="1"/>
    <col min="3" max="3" width="10.57421875" style="46" customWidth="1"/>
    <col min="4" max="4" width="6.7109375" style="46" customWidth="1"/>
    <col min="5" max="5" width="8.8515625" style="46" customWidth="1"/>
    <col min="6" max="6" width="8.57421875" style="46" customWidth="1"/>
    <col min="7" max="7" width="20.57421875" style="46" customWidth="1"/>
    <col min="8" max="16384" width="9.140625" style="46" customWidth="1"/>
  </cols>
  <sheetData>
    <row r="1" ht="23.25">
      <c r="A1" s="6" t="s">
        <v>159</v>
      </c>
    </row>
    <row r="2" spans="1:7" ht="26.25" customHeight="1">
      <c r="A2" s="260" t="s">
        <v>16</v>
      </c>
      <c r="B2" s="260"/>
      <c r="C2" s="260"/>
      <c r="D2" s="260"/>
      <c r="E2" s="260"/>
      <c r="F2" s="260"/>
      <c r="G2" s="260"/>
    </row>
    <row r="3" spans="1:7" ht="24.75" customHeight="1">
      <c r="A3" s="259" t="s">
        <v>172</v>
      </c>
      <c r="B3" s="259"/>
      <c r="C3" s="259"/>
      <c r="D3" s="259"/>
      <c r="E3" s="259"/>
      <c r="F3" s="259"/>
      <c r="G3" s="259"/>
    </row>
    <row r="4" spans="1:7" ht="40.5" customHeight="1">
      <c r="A4" s="62" t="s">
        <v>9</v>
      </c>
      <c r="B4" s="62" t="s">
        <v>10</v>
      </c>
      <c r="C4" s="62" t="s">
        <v>11</v>
      </c>
      <c r="D4" s="62" t="s">
        <v>12</v>
      </c>
      <c r="E4" s="62" t="s">
        <v>13</v>
      </c>
      <c r="F4" s="62" t="s">
        <v>14</v>
      </c>
      <c r="G4" s="62" t="s">
        <v>15</v>
      </c>
    </row>
    <row r="5" spans="1:8" s="243" customFormat="1" ht="16.5" customHeight="1">
      <c r="A5" s="218" t="s">
        <v>80</v>
      </c>
      <c r="B5" s="245">
        <v>1</v>
      </c>
      <c r="C5" s="245">
        <v>15</v>
      </c>
      <c r="D5" s="246">
        <f aca="true" t="shared" si="0" ref="D5:D10">C5/37.5</f>
        <v>0.4</v>
      </c>
      <c r="E5" s="247">
        <v>1</v>
      </c>
      <c r="F5" s="248"/>
      <c r="G5" s="244"/>
      <c r="H5" s="261" t="s">
        <v>146</v>
      </c>
    </row>
    <row r="6" spans="1:8" s="243" customFormat="1" ht="16.5" customHeight="1">
      <c r="A6" s="244" t="s">
        <v>76</v>
      </c>
      <c r="B6" s="245">
        <v>1</v>
      </c>
      <c r="C6" s="245">
        <v>10</v>
      </c>
      <c r="D6" s="246">
        <f t="shared" si="0"/>
        <v>0.26666666666666666</v>
      </c>
      <c r="E6" s="247">
        <v>1</v>
      </c>
      <c r="F6" s="248"/>
      <c r="G6" s="244"/>
      <c r="H6" s="261"/>
    </row>
    <row r="7" spans="1:8" s="243" customFormat="1" ht="16.5" customHeight="1">
      <c r="A7" s="244" t="s">
        <v>95</v>
      </c>
      <c r="B7" s="245">
        <v>1</v>
      </c>
      <c r="C7" s="245">
        <v>37.5</v>
      </c>
      <c r="D7" s="246">
        <f t="shared" si="0"/>
        <v>1</v>
      </c>
      <c r="E7" s="247">
        <v>1</v>
      </c>
      <c r="F7" s="248"/>
      <c r="G7" s="244"/>
      <c r="H7" s="261"/>
    </row>
    <row r="8" spans="1:8" s="243" customFormat="1" ht="16.5" customHeight="1">
      <c r="A8" s="244" t="s">
        <v>77</v>
      </c>
      <c r="B8" s="245">
        <v>1</v>
      </c>
      <c r="C8" s="245">
        <v>5</v>
      </c>
      <c r="D8" s="246">
        <f t="shared" si="0"/>
        <v>0.13333333333333333</v>
      </c>
      <c r="E8" s="247">
        <v>1</v>
      </c>
      <c r="F8" s="248"/>
      <c r="G8" s="244"/>
      <c r="H8" s="261"/>
    </row>
    <row r="9" spans="1:8" s="243" customFormat="1" ht="16.5" customHeight="1">
      <c r="A9" s="244" t="s">
        <v>114</v>
      </c>
      <c r="B9" s="245">
        <v>3</v>
      </c>
      <c r="C9" s="245">
        <v>195</v>
      </c>
      <c r="D9" s="246">
        <f t="shared" si="0"/>
        <v>5.2</v>
      </c>
      <c r="E9" s="247">
        <v>1</v>
      </c>
      <c r="F9" s="248"/>
      <c r="G9" s="244"/>
      <c r="H9" s="261"/>
    </row>
    <row r="10" spans="1:8" s="243" customFormat="1" ht="16.5" customHeight="1">
      <c r="A10" s="244" t="s">
        <v>142</v>
      </c>
      <c r="B10" s="245">
        <v>1</v>
      </c>
      <c r="C10" s="245">
        <v>37.5</v>
      </c>
      <c r="D10" s="246">
        <f t="shared" si="0"/>
        <v>1</v>
      </c>
      <c r="E10" s="247">
        <v>1</v>
      </c>
      <c r="F10" s="248"/>
      <c r="G10" s="244"/>
      <c r="H10" s="261"/>
    </row>
    <row r="11" spans="1:8" s="243" customFormat="1" ht="16.5" customHeight="1">
      <c r="A11" s="244" t="s">
        <v>115</v>
      </c>
      <c r="B11" s="245">
        <v>2</v>
      </c>
      <c r="C11" s="245">
        <v>67.5</v>
      </c>
      <c r="D11" s="246">
        <f>C11/37.5</f>
        <v>1.8</v>
      </c>
      <c r="E11" s="247">
        <v>1</v>
      </c>
      <c r="F11" s="248"/>
      <c r="G11" s="244"/>
      <c r="H11" s="261"/>
    </row>
    <row r="12" spans="1:8" s="243" customFormat="1" ht="16.5" customHeight="1">
      <c r="A12" s="215" t="s">
        <v>115</v>
      </c>
      <c r="B12" s="78">
        <v>1</v>
      </c>
      <c r="C12" s="78">
        <v>45</v>
      </c>
      <c r="D12" s="79">
        <f>C12/37.5</f>
        <v>1.2</v>
      </c>
      <c r="E12" s="80">
        <v>1</v>
      </c>
      <c r="F12" s="81"/>
      <c r="G12" s="215"/>
      <c r="H12" s="239" t="s">
        <v>148</v>
      </c>
    </row>
    <row r="13" spans="1:8" s="243" customFormat="1" ht="16.5" customHeight="1">
      <c r="A13" s="216" t="s">
        <v>115</v>
      </c>
      <c r="B13" s="84">
        <v>2</v>
      </c>
      <c r="C13" s="84">
        <v>75</v>
      </c>
      <c r="D13" s="85">
        <f>C13/37.5</f>
        <v>2</v>
      </c>
      <c r="E13" s="86">
        <v>1</v>
      </c>
      <c r="F13" s="87"/>
      <c r="G13" s="216"/>
      <c r="H13" s="240" t="s">
        <v>147</v>
      </c>
    </row>
    <row r="14" spans="1:8" s="243" customFormat="1" ht="16.5" customHeight="1">
      <c r="A14" s="217" t="s">
        <v>115</v>
      </c>
      <c r="B14" s="90">
        <v>1</v>
      </c>
      <c r="C14" s="90">
        <v>57.5</v>
      </c>
      <c r="D14" s="91">
        <f>C14/37.5</f>
        <v>1.5333333333333334</v>
      </c>
      <c r="E14" s="92">
        <v>1</v>
      </c>
      <c r="F14" s="93"/>
      <c r="G14" s="217"/>
      <c r="H14" s="262" t="s">
        <v>145</v>
      </c>
    </row>
    <row r="15" spans="1:8" s="243" customFormat="1" ht="16.5" customHeight="1">
      <c r="A15" s="217" t="s">
        <v>76</v>
      </c>
      <c r="B15" s="90">
        <v>1</v>
      </c>
      <c r="C15" s="90">
        <v>17</v>
      </c>
      <c r="D15" s="91">
        <f>C15/37.5</f>
        <v>0.4533333333333333</v>
      </c>
      <c r="E15" s="92">
        <v>1</v>
      </c>
      <c r="F15" s="93"/>
      <c r="G15" s="217"/>
      <c r="H15" s="262"/>
    </row>
    <row r="16" spans="1:7" s="67" customFormat="1" ht="18.75">
      <c r="A16" s="63" t="s">
        <v>61</v>
      </c>
      <c r="B16" s="64">
        <f>SUM(B5:B15)</f>
        <v>15</v>
      </c>
      <c r="C16" s="64">
        <f>SUM(C5:C15)</f>
        <v>562</v>
      </c>
      <c r="D16" s="64">
        <f>SUM(D5:D15)</f>
        <v>14.986666666666666</v>
      </c>
      <c r="E16" s="193"/>
      <c r="F16" s="66"/>
      <c r="G16" s="65"/>
    </row>
    <row r="19" spans="1:6" ht="15">
      <c r="A19" s="250" t="s">
        <v>158</v>
      </c>
      <c r="B19" s="250"/>
      <c r="C19" s="250"/>
      <c r="D19" s="250"/>
      <c r="E19" s="250"/>
      <c r="F19" s="250"/>
    </row>
    <row r="20" spans="1:6" ht="15">
      <c r="A20" s="250"/>
      <c r="B20" s="250"/>
      <c r="C20" s="250"/>
      <c r="D20" s="250"/>
      <c r="E20" s="250"/>
      <c r="F20" s="250"/>
    </row>
    <row r="21" spans="1:6" ht="15">
      <c r="A21" s="250"/>
      <c r="B21" s="250"/>
      <c r="C21" s="250"/>
      <c r="D21" s="250"/>
      <c r="E21" s="250"/>
      <c r="F21" s="250"/>
    </row>
    <row r="22" spans="1:6" ht="15">
      <c r="A22" s="250"/>
      <c r="B22" s="250"/>
      <c r="C22" s="250"/>
      <c r="D22" s="250"/>
      <c r="E22" s="250"/>
      <c r="F22" s="250"/>
    </row>
    <row r="23" spans="1:6" ht="15">
      <c r="A23" s="250"/>
      <c r="B23" s="250"/>
      <c r="C23" s="250"/>
      <c r="D23" s="250"/>
      <c r="E23" s="250"/>
      <c r="F23" s="250"/>
    </row>
    <row r="24" spans="1:6" ht="15">
      <c r="A24" s="250"/>
      <c r="B24" s="250"/>
      <c r="C24" s="250"/>
      <c r="D24" s="250"/>
      <c r="E24" s="250"/>
      <c r="F24" s="250"/>
    </row>
    <row r="25" spans="1:6" ht="15">
      <c r="A25" s="250"/>
      <c r="B25" s="250"/>
      <c r="C25" s="250"/>
      <c r="D25" s="250"/>
      <c r="E25" s="250"/>
      <c r="F25" s="250"/>
    </row>
    <row r="26" spans="1:6" ht="15">
      <c r="A26" s="250"/>
      <c r="B26" s="250"/>
      <c r="C26" s="250"/>
      <c r="D26" s="250"/>
      <c r="E26" s="250"/>
      <c r="F26" s="250"/>
    </row>
    <row r="27" spans="1:6" ht="15">
      <c r="A27" s="250"/>
      <c r="B27" s="250"/>
      <c r="C27" s="250"/>
      <c r="D27" s="250"/>
      <c r="E27" s="250"/>
      <c r="F27" s="250"/>
    </row>
    <row r="28" spans="1:6" ht="15">
      <c r="A28" s="250"/>
      <c r="B28" s="250"/>
      <c r="C28" s="250"/>
      <c r="D28" s="250"/>
      <c r="E28" s="250"/>
      <c r="F28" s="250"/>
    </row>
    <row r="29" spans="1:6" ht="15">
      <c r="A29" s="250"/>
      <c r="B29" s="250"/>
      <c r="C29" s="250"/>
      <c r="D29" s="250"/>
      <c r="E29" s="250"/>
      <c r="F29" s="250"/>
    </row>
    <row r="30" spans="1:6" ht="15">
      <c r="A30" s="250"/>
      <c r="B30" s="250"/>
      <c r="C30" s="250"/>
      <c r="D30" s="250"/>
      <c r="E30" s="250"/>
      <c r="F30" s="250"/>
    </row>
    <row r="31" spans="1:6" ht="15">
      <c r="A31" s="250"/>
      <c r="B31" s="250"/>
      <c r="C31" s="250"/>
      <c r="D31" s="250"/>
      <c r="E31" s="250"/>
      <c r="F31" s="250"/>
    </row>
    <row r="32" spans="1:6" ht="15">
      <c r="A32" s="250"/>
      <c r="B32" s="250"/>
      <c r="C32" s="250"/>
      <c r="D32" s="250"/>
      <c r="E32" s="250"/>
      <c r="F32" s="250"/>
    </row>
  </sheetData>
  <sheetProtection/>
  <mergeCells count="5">
    <mergeCell ref="A19:F32"/>
    <mergeCell ref="A3:G3"/>
    <mergeCell ref="A2:G2"/>
    <mergeCell ref="H5:H11"/>
    <mergeCell ref="H14:H15"/>
  </mergeCells>
  <printOptions/>
  <pageMargins left="0" right="0" top="0" bottom="0" header="0" footer="0"/>
  <pageSetup horizontalDpi="600" verticalDpi="600" orientation="landscape" scale="98"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K33"/>
  <sheetViews>
    <sheetView zoomScalePageLayoutView="0" workbookViewId="0" topLeftCell="A1">
      <pane xSplit="1" ySplit="3" topLeftCell="F4" activePane="bottomRight" state="frozen"/>
      <selection pane="topLeft" activeCell="A1" sqref="A1"/>
      <selection pane="topRight" activeCell="B1" sqref="B1"/>
      <selection pane="bottomLeft" activeCell="A4" sqref="A4"/>
      <selection pane="bottomRight" activeCell="G15" sqref="G15:G16"/>
    </sheetView>
  </sheetViews>
  <sheetFormatPr defaultColWidth="9.140625" defaultRowHeight="15"/>
  <cols>
    <col min="1" max="1" width="44.421875" style="0" bestFit="1" customWidth="1"/>
    <col min="2" max="2" width="10.421875" style="0" customWidth="1"/>
    <col min="3" max="3" width="8.8515625" style="0" customWidth="1"/>
    <col min="4" max="4" width="12.140625" style="0" customWidth="1"/>
    <col min="5" max="5" width="18.8515625" style="0" customWidth="1"/>
    <col min="6" max="7" width="12.57421875" style="0" bestFit="1" customWidth="1"/>
    <col min="8" max="8" width="4.140625" style="0" customWidth="1"/>
    <col min="9" max="9" width="13.140625" style="0" customWidth="1"/>
    <col min="10" max="10" width="10.421875" style="0" customWidth="1"/>
  </cols>
  <sheetData>
    <row r="1" spans="1:10" ht="30" customHeight="1">
      <c r="A1" s="272" t="s">
        <v>55</v>
      </c>
      <c r="B1" s="272"/>
      <c r="C1" s="272"/>
      <c r="D1" s="272"/>
      <c r="E1" s="272"/>
      <c r="F1" s="272"/>
      <c r="G1" s="272"/>
      <c r="H1" s="272"/>
      <c r="I1" s="272"/>
      <c r="J1" s="272"/>
    </row>
    <row r="2" spans="1:10" ht="26.25" hidden="1">
      <c r="A2" s="13"/>
      <c r="B2" s="13"/>
      <c r="C2" s="13"/>
      <c r="D2" s="13"/>
      <c r="E2" s="13"/>
      <c r="F2" s="13"/>
      <c r="G2" s="13"/>
      <c r="H2" s="13"/>
      <c r="I2" s="13"/>
      <c r="J2" s="13"/>
    </row>
    <row r="3" spans="1:10" ht="44.25" customHeight="1">
      <c r="A3" s="273" t="s">
        <v>172</v>
      </c>
      <c r="B3" s="273"/>
      <c r="C3" s="273"/>
      <c r="D3" s="273"/>
      <c r="E3" s="273"/>
      <c r="F3" s="273"/>
      <c r="G3" s="273"/>
      <c r="H3" s="273"/>
      <c r="I3" s="273"/>
      <c r="J3" s="273"/>
    </row>
    <row r="4" spans="1:10" ht="37.5" customHeight="1">
      <c r="A4" s="266" t="s">
        <v>6</v>
      </c>
      <c r="B4" s="264" t="s">
        <v>17</v>
      </c>
      <c r="C4" s="266" t="s">
        <v>7</v>
      </c>
      <c r="D4" s="266" t="s">
        <v>8</v>
      </c>
      <c r="E4" s="268" t="s">
        <v>18</v>
      </c>
      <c r="F4" s="264" t="s">
        <v>19</v>
      </c>
      <c r="G4" s="264" t="s">
        <v>20</v>
      </c>
      <c r="H4" s="7"/>
      <c r="I4" s="270" t="s">
        <v>21</v>
      </c>
      <c r="J4" s="271"/>
    </row>
    <row r="5" spans="1:10" ht="52.5" customHeight="1">
      <c r="A5" s="267"/>
      <c r="B5" s="265"/>
      <c r="C5" s="267"/>
      <c r="D5" s="267"/>
      <c r="E5" s="269"/>
      <c r="F5" s="265"/>
      <c r="G5" s="265"/>
      <c r="H5" s="8"/>
      <c r="I5" s="9" t="s">
        <v>58</v>
      </c>
      <c r="J5" s="9" t="s">
        <v>75</v>
      </c>
    </row>
    <row r="6" spans="1:11" ht="16.5" customHeight="1">
      <c r="A6" s="97" t="str">
        <f>'Office Sharing Payment Ratio'!A5</f>
        <v>SNAP</v>
      </c>
      <c r="B6" s="98">
        <v>60</v>
      </c>
      <c r="C6" s="98">
        <f>'Office Sharing Payment Ratio'!B5</f>
        <v>1</v>
      </c>
      <c r="D6" s="98">
        <f>'Office Sharing Payment Ratio'!C5</f>
        <v>15</v>
      </c>
      <c r="E6" s="98">
        <f>B6*'Office Sharing Payment Ratio'!E5</f>
        <v>60</v>
      </c>
      <c r="F6" s="99">
        <f aca="true" t="shared" si="0" ref="F6:F12">E6/SUM(E$6:E$12)</f>
        <v>0.06688963210702341</v>
      </c>
      <c r="G6" s="100">
        <f>F6*GETPIVOTDATA("Cost",'Cost by Allocation Base'!$A$3,"Location","Pandora","Cost Category","Infrastructure Costs","Allocation Base","Square Footage")</f>
        <v>9096.989966555184</v>
      </c>
      <c r="H6" s="101"/>
      <c r="I6" s="100">
        <f aca="true" t="shared" si="1" ref="I6:I16">G6*$I$21</f>
        <v>9096.989966555184</v>
      </c>
      <c r="J6" s="100">
        <f aca="true" t="shared" si="2" ref="J6:J16">G6*$J$21</f>
        <v>0</v>
      </c>
      <c r="K6" s="261" t="s">
        <v>146</v>
      </c>
    </row>
    <row r="7" spans="1:11" ht="16.5" customHeight="1">
      <c r="A7" s="97" t="str">
        <f>'Office Sharing Payment Ratio'!A6</f>
        <v>RESEA</v>
      </c>
      <c r="B7" s="98">
        <v>60</v>
      </c>
      <c r="C7" s="98">
        <f>'Office Sharing Payment Ratio'!B6</f>
        <v>1</v>
      </c>
      <c r="D7" s="98">
        <f>'Office Sharing Payment Ratio'!C6</f>
        <v>10</v>
      </c>
      <c r="E7" s="98">
        <f>B7*'Office Sharing Payment Ratio'!E6</f>
        <v>60</v>
      </c>
      <c r="F7" s="99">
        <f t="shared" si="0"/>
        <v>0.06688963210702341</v>
      </c>
      <c r="G7" s="100">
        <f>F7*GETPIVOTDATA("Cost",'Cost by Allocation Base'!$A$3,"Location","Pandora","Cost Category","Infrastructure Costs","Allocation Base","Square Footage")</f>
        <v>9096.989966555184</v>
      </c>
      <c r="H7" s="101"/>
      <c r="I7" s="100">
        <f t="shared" si="1"/>
        <v>9096.989966555184</v>
      </c>
      <c r="J7" s="100">
        <f t="shared" si="2"/>
        <v>0</v>
      </c>
      <c r="K7" s="261"/>
    </row>
    <row r="8" spans="1:11" s="68" customFormat="1" ht="15" customHeight="1">
      <c r="A8" s="97" t="str">
        <f>'Office Sharing Payment Ratio'!A7</f>
        <v>VETS</v>
      </c>
      <c r="B8" s="237">
        <v>60</v>
      </c>
      <c r="C8" s="98">
        <f>'Office Sharing Payment Ratio'!B7</f>
        <v>1</v>
      </c>
      <c r="D8" s="98">
        <f>'Office Sharing Payment Ratio'!C7</f>
        <v>37.5</v>
      </c>
      <c r="E8" s="98">
        <f>B8*'Office Sharing Payment Ratio'!E7</f>
        <v>60</v>
      </c>
      <c r="F8" s="99">
        <f t="shared" si="0"/>
        <v>0.06688963210702341</v>
      </c>
      <c r="G8" s="100">
        <f>F8*GETPIVOTDATA("Cost",'Cost by Allocation Base'!$A$3,"Location","Pandora","Cost Category","Infrastructure Costs","Allocation Base","Square Footage")</f>
        <v>9096.989966555184</v>
      </c>
      <c r="H8" s="103"/>
      <c r="I8" s="100">
        <f t="shared" si="1"/>
        <v>9096.989966555184</v>
      </c>
      <c r="J8" s="100">
        <f t="shared" si="2"/>
        <v>0</v>
      </c>
      <c r="K8" s="261"/>
    </row>
    <row r="9" spans="1:11" ht="16.5" customHeight="1">
      <c r="A9" s="97" t="str">
        <f>'Office Sharing Payment Ratio'!A8</f>
        <v>TAA</v>
      </c>
      <c r="B9" s="98">
        <v>60</v>
      </c>
      <c r="C9" s="98">
        <f>'Office Sharing Payment Ratio'!B8</f>
        <v>1</v>
      </c>
      <c r="D9" s="98">
        <f>'Office Sharing Payment Ratio'!C8</f>
        <v>5</v>
      </c>
      <c r="E9" s="98">
        <f>B9*'Office Sharing Payment Ratio'!E8</f>
        <v>60</v>
      </c>
      <c r="F9" s="99">
        <f t="shared" si="0"/>
        <v>0.06688963210702341</v>
      </c>
      <c r="G9" s="100">
        <f>F9*GETPIVOTDATA("Cost",'Cost by Allocation Base'!$A$3,"Location","Pandora","Cost Category","Infrastructure Costs","Allocation Base","Square Footage")</f>
        <v>9096.989966555184</v>
      </c>
      <c r="H9" s="101"/>
      <c r="I9" s="100">
        <f t="shared" si="1"/>
        <v>9096.989966555184</v>
      </c>
      <c r="J9" s="100">
        <f t="shared" si="2"/>
        <v>0</v>
      </c>
      <c r="K9" s="261"/>
    </row>
    <row r="10" spans="1:11" ht="16.5" customHeight="1">
      <c r="A10" s="97" t="str">
        <f>'Office Sharing Payment Ratio'!A9</f>
        <v>Wagner-Peyser Employment Services (ES)</v>
      </c>
      <c r="B10" s="98">
        <v>270</v>
      </c>
      <c r="C10" s="98">
        <v>3</v>
      </c>
      <c r="D10" s="98">
        <v>195</v>
      </c>
      <c r="E10" s="98">
        <f>B10*'Office Sharing Payment Ratio'!E9</f>
        <v>270</v>
      </c>
      <c r="F10" s="99">
        <f t="shared" si="0"/>
        <v>0.3010033444816054</v>
      </c>
      <c r="G10" s="100">
        <f>F10*GETPIVOTDATA("Cost",'Cost by Allocation Base'!$A$3,"Location","Pandora","Cost Category","Infrastructure Costs","Allocation Base","Square Footage")</f>
        <v>40936.45484949833</v>
      </c>
      <c r="H10" s="101"/>
      <c r="I10" s="100">
        <f t="shared" si="1"/>
        <v>40936.45484949833</v>
      </c>
      <c r="J10" s="100">
        <f t="shared" si="2"/>
        <v>0</v>
      </c>
      <c r="K10" s="261"/>
    </row>
    <row r="11" spans="1:11" ht="16.5" customHeight="1">
      <c r="A11" s="97" t="s">
        <v>142</v>
      </c>
      <c r="B11" s="98">
        <v>150</v>
      </c>
      <c r="C11" s="98">
        <v>1</v>
      </c>
      <c r="D11" s="98">
        <v>37.5</v>
      </c>
      <c r="E11" s="98">
        <f>B11*'Office Sharing Payment Ratio'!E10</f>
        <v>150</v>
      </c>
      <c r="F11" s="99">
        <f t="shared" si="0"/>
        <v>0.16722408026755853</v>
      </c>
      <c r="G11" s="100">
        <f>F11*GETPIVOTDATA("Cost",'Cost by Allocation Base'!$A$3,"Location","Pandora","Cost Category","Infrastructure Costs","Allocation Base","Square Footage")</f>
        <v>22742.47491638796</v>
      </c>
      <c r="H11" s="101"/>
      <c r="I11" s="100">
        <f t="shared" si="1"/>
        <v>22742.47491638796</v>
      </c>
      <c r="J11" s="100">
        <f t="shared" si="2"/>
        <v>0</v>
      </c>
      <c r="K11" s="261"/>
    </row>
    <row r="12" spans="1:11" ht="16.5" customHeight="1">
      <c r="A12" s="97" t="str">
        <f>'Office Sharing Payment Ratio'!A11</f>
        <v>WIOA Adult, Dislocated Workers, and Youth Programs</v>
      </c>
      <c r="B12" s="98">
        <v>237</v>
      </c>
      <c r="C12" s="98">
        <v>2</v>
      </c>
      <c r="D12" s="98">
        <v>67.5</v>
      </c>
      <c r="E12" s="98">
        <f>B12*'Office Sharing Payment Ratio'!E11</f>
        <v>237</v>
      </c>
      <c r="F12" s="99">
        <f t="shared" si="0"/>
        <v>0.26421404682274247</v>
      </c>
      <c r="G12" s="100">
        <f>F12*GETPIVOTDATA("Cost",'Cost by Allocation Base'!$A$3,"Location","Pandora","Cost Category","Infrastructure Costs","Allocation Base","Square Footage")</f>
        <v>35933.11036789297</v>
      </c>
      <c r="H12" s="101"/>
      <c r="I12" s="100">
        <f t="shared" si="1"/>
        <v>35933.11036789297</v>
      </c>
      <c r="J12" s="100">
        <f t="shared" si="2"/>
        <v>0</v>
      </c>
      <c r="K12" s="261"/>
    </row>
    <row r="13" spans="1:11" ht="16.5" customHeight="1">
      <c r="A13" s="77" t="str">
        <f>'Office Sharing Payment Ratio'!A12</f>
        <v>WIOA Adult, Dislocated Workers, and Youth Programs</v>
      </c>
      <c r="B13" s="130">
        <v>1178</v>
      </c>
      <c r="C13" s="130">
        <v>1</v>
      </c>
      <c r="D13" s="130">
        <v>45</v>
      </c>
      <c r="E13" s="130">
        <f>B13*'Office Sharing Payment Ratio'!E12</f>
        <v>1178</v>
      </c>
      <c r="F13" s="134">
        <f>E13/SUM(E13)</f>
        <v>1</v>
      </c>
      <c r="G13" s="135">
        <f>F13*GETPIVOTDATA("Cost",'Cost by Allocation Base'!$A$3,"Location","Neverland","Cost Category","Infrastructure Costs","Allocation Base","Square Footage")</f>
        <v>14920</v>
      </c>
      <c r="H13" s="123"/>
      <c r="I13" s="135">
        <f t="shared" si="1"/>
        <v>14920</v>
      </c>
      <c r="J13" s="135">
        <f t="shared" si="2"/>
        <v>0</v>
      </c>
      <c r="K13" s="239" t="s">
        <v>148</v>
      </c>
    </row>
    <row r="14" spans="1:11" ht="16.5" customHeight="1">
      <c r="A14" s="83" t="str">
        <f>'Office Sharing Payment Ratio'!A13</f>
        <v>WIOA Adult, Dislocated Workers, and Youth Programs</v>
      </c>
      <c r="B14" s="136">
        <v>1470</v>
      </c>
      <c r="C14" s="136">
        <v>2</v>
      </c>
      <c r="D14" s="136">
        <v>75</v>
      </c>
      <c r="E14" s="136">
        <v>1470</v>
      </c>
      <c r="F14" s="137">
        <f>E14/SUM(E14)</f>
        <v>1</v>
      </c>
      <c r="G14" s="138">
        <f>F14*GETPIVOTDATA("Cost",'Cost by Allocation Base'!$A$3,"Location","Atlantis","Cost Category","Infrastructure Costs","Allocation Base","Square Footage")</f>
        <v>15700</v>
      </c>
      <c r="H14" s="139"/>
      <c r="I14" s="138">
        <f t="shared" si="1"/>
        <v>15700</v>
      </c>
      <c r="J14" s="138">
        <f t="shared" si="2"/>
        <v>0</v>
      </c>
      <c r="K14" s="240" t="s">
        <v>145</v>
      </c>
    </row>
    <row r="15" spans="1:11" ht="16.5" customHeight="1">
      <c r="A15" s="89" t="str">
        <f>'Office Sharing Payment Ratio'!A14</f>
        <v>WIOA Adult, Dislocated Workers, and Youth Programs</v>
      </c>
      <c r="B15" s="166">
        <v>950</v>
      </c>
      <c r="C15" s="166">
        <v>1</v>
      </c>
      <c r="D15" s="166">
        <v>57.5</v>
      </c>
      <c r="E15" s="166">
        <f>B15*'Office Sharing Payment Ratio'!E14</f>
        <v>950</v>
      </c>
      <c r="F15" s="171">
        <f>E15/SUM(E$15:E$16)</f>
        <v>0.95</v>
      </c>
      <c r="G15" s="172">
        <f>F15*GETPIVOTDATA("Cost",'Cost by Allocation Base'!$A$3,"Location","Oz","Cost Category","Infrastructure Costs","Allocation Base","Square Footage")</f>
        <v>10959.199999999999</v>
      </c>
      <c r="H15" s="160"/>
      <c r="I15" s="172">
        <f t="shared" si="1"/>
        <v>10959.199999999999</v>
      </c>
      <c r="J15" s="172">
        <f t="shared" si="2"/>
        <v>0</v>
      </c>
      <c r="K15" s="262" t="s">
        <v>147</v>
      </c>
    </row>
    <row r="16" spans="1:11" ht="16.5" customHeight="1">
      <c r="A16" s="89" t="str">
        <f>'Office Sharing Payment Ratio'!A15</f>
        <v>RESEA</v>
      </c>
      <c r="B16" s="166">
        <v>50</v>
      </c>
      <c r="C16" s="166">
        <f>'Office Sharing Payment Ratio'!B15</f>
        <v>1</v>
      </c>
      <c r="D16" s="166">
        <f>'Office Sharing Payment Ratio'!C15</f>
        <v>17</v>
      </c>
      <c r="E16" s="166">
        <f>B16*'Office Sharing Payment Ratio'!E15</f>
        <v>50</v>
      </c>
      <c r="F16" s="171">
        <f>E16/SUM(E$15:E$16)</f>
        <v>0.05</v>
      </c>
      <c r="G16" s="172">
        <f>F16*GETPIVOTDATA("Cost",'Cost by Allocation Base'!$A$3,"Location","Oz","Cost Category","Infrastructure Costs","Allocation Base","Square Footage")</f>
        <v>576.8000000000001</v>
      </c>
      <c r="H16" s="160"/>
      <c r="I16" s="172">
        <f t="shared" si="1"/>
        <v>576.8000000000001</v>
      </c>
      <c r="J16" s="172">
        <f t="shared" si="2"/>
        <v>0</v>
      </c>
      <c r="K16" s="262"/>
    </row>
    <row r="17" spans="1:10" ht="16.5" customHeight="1">
      <c r="A17" s="1" t="str">
        <f>'Office Sharing Payment Ratio'!A16</f>
        <v>Total</v>
      </c>
      <c r="B17" s="11">
        <f>SUM(B6:B16)</f>
        <v>4545</v>
      </c>
      <c r="C17" s="5"/>
      <c r="D17" s="5"/>
      <c r="E17" s="5"/>
      <c r="F17" s="5"/>
      <c r="G17" s="10"/>
      <c r="H17" s="8"/>
      <c r="I17" s="5"/>
      <c r="J17" s="5"/>
    </row>
    <row r="18" spans="1:10" ht="16.5" customHeight="1">
      <c r="A18" s="5" t="s">
        <v>160</v>
      </c>
      <c r="B18" s="11">
        <v>3670</v>
      </c>
      <c r="C18" s="232"/>
      <c r="D18" s="232"/>
      <c r="E18" s="5"/>
      <c r="F18" s="5"/>
      <c r="G18" s="5"/>
      <c r="H18" s="8"/>
      <c r="I18" s="5"/>
      <c r="J18" s="5"/>
    </row>
    <row r="19" spans="1:10" ht="16.5" customHeight="1">
      <c r="A19" s="1" t="s">
        <v>161</v>
      </c>
      <c r="B19" s="11">
        <f>B17+B18</f>
        <v>8215</v>
      </c>
      <c r="C19" s="5"/>
      <c r="D19" s="232"/>
      <c r="E19" s="34">
        <f>SUM(E6:E18)</f>
        <v>4545</v>
      </c>
      <c r="F19" s="32">
        <f>SUM(F6:F18)</f>
        <v>4</v>
      </c>
      <c r="G19" s="2">
        <f>SUM(G6:G18)</f>
        <v>178156</v>
      </c>
      <c r="H19" s="12"/>
      <c r="I19" s="33">
        <f>SUM(I6:I18)</f>
        <v>178156</v>
      </c>
      <c r="J19" s="33">
        <f>SUM(J6:J18)</f>
        <v>0</v>
      </c>
    </row>
    <row r="20" spans="5:6" ht="15">
      <c r="E20" t="s">
        <v>61</v>
      </c>
      <c r="F20" s="38">
        <f>GETPIVOTDATA("Cost",'Cost by Allocation Base'!$A$3,"Allocation Base","Square Footage")</f>
        <v>178156</v>
      </c>
    </row>
    <row r="21" spans="1:10" ht="15">
      <c r="A21" s="263" t="s">
        <v>162</v>
      </c>
      <c r="B21" s="263"/>
      <c r="C21" s="263"/>
      <c r="D21" s="263"/>
      <c r="E21" s="263"/>
      <c r="F21" s="263"/>
      <c r="I21" s="41">
        <v>1</v>
      </c>
      <c r="J21" s="41">
        <v>0</v>
      </c>
    </row>
    <row r="22" spans="1:10" ht="15" customHeight="1">
      <c r="A22" s="263"/>
      <c r="B22" s="263"/>
      <c r="C22" s="263"/>
      <c r="D22" s="263"/>
      <c r="E22" s="263"/>
      <c r="F22" s="263"/>
      <c r="G22" s="196"/>
      <c r="I22" s="41"/>
      <c r="J22" s="41"/>
    </row>
    <row r="23" spans="1:10" ht="15">
      <c r="A23" s="263"/>
      <c r="B23" s="263"/>
      <c r="C23" s="263"/>
      <c r="D23" s="263"/>
      <c r="E23" s="263"/>
      <c r="F23" s="263"/>
      <c r="G23" s="196"/>
      <c r="I23" s="41"/>
      <c r="J23" s="41"/>
    </row>
    <row r="24" spans="1:10" ht="15">
      <c r="A24" s="263"/>
      <c r="B24" s="263"/>
      <c r="C24" s="263"/>
      <c r="D24" s="263"/>
      <c r="E24" s="263"/>
      <c r="F24" s="263"/>
      <c r="G24" s="196"/>
      <c r="I24" s="41"/>
      <c r="J24" s="41"/>
    </row>
    <row r="25" spans="1:7" ht="15">
      <c r="A25" s="263"/>
      <c r="B25" s="263"/>
      <c r="C25" s="263"/>
      <c r="D25" s="263"/>
      <c r="E25" s="263"/>
      <c r="F25" s="263"/>
      <c r="G25" s="196"/>
    </row>
    <row r="26" spans="1:7" ht="15">
      <c r="A26" s="263"/>
      <c r="B26" s="263"/>
      <c r="C26" s="263"/>
      <c r="D26" s="263"/>
      <c r="E26" s="263"/>
      <c r="F26" s="263"/>
      <c r="G26" s="196"/>
    </row>
    <row r="27" spans="1:7" ht="15">
      <c r="A27" s="263"/>
      <c r="B27" s="263"/>
      <c r="C27" s="263"/>
      <c r="D27" s="263"/>
      <c r="E27" s="263"/>
      <c r="F27" s="263"/>
      <c r="G27" s="196"/>
    </row>
    <row r="28" spans="1:7" ht="15">
      <c r="A28" s="263"/>
      <c r="B28" s="263"/>
      <c r="C28" s="263"/>
      <c r="D28" s="263"/>
      <c r="E28" s="263"/>
      <c r="F28" s="263"/>
      <c r="G28" s="196"/>
    </row>
    <row r="29" spans="1:7" ht="15">
      <c r="A29" s="263"/>
      <c r="B29" s="263"/>
      <c r="C29" s="263"/>
      <c r="D29" s="263"/>
      <c r="E29" s="263"/>
      <c r="F29" s="263"/>
      <c r="G29" s="196"/>
    </row>
    <row r="30" spans="1:7" ht="15">
      <c r="A30" s="263"/>
      <c r="B30" s="263"/>
      <c r="C30" s="263"/>
      <c r="D30" s="263"/>
      <c r="E30" s="263"/>
      <c r="F30" s="263"/>
      <c r="G30" s="196"/>
    </row>
    <row r="31" spans="1:7" ht="15">
      <c r="A31" s="263"/>
      <c r="B31" s="263"/>
      <c r="C31" s="263"/>
      <c r="D31" s="263"/>
      <c r="E31" s="263"/>
      <c r="F31" s="263"/>
      <c r="G31" s="196"/>
    </row>
    <row r="32" spans="1:6" ht="15">
      <c r="A32" s="263"/>
      <c r="B32" s="263"/>
      <c r="C32" s="263"/>
      <c r="D32" s="263"/>
      <c r="E32" s="263"/>
      <c r="F32" s="263"/>
    </row>
    <row r="33" spans="1:6" ht="15">
      <c r="A33" s="263"/>
      <c r="B33" s="263"/>
      <c r="C33" s="263"/>
      <c r="D33" s="263"/>
      <c r="E33" s="263"/>
      <c r="F33" s="263"/>
    </row>
  </sheetData>
  <sheetProtection/>
  <mergeCells count="13">
    <mergeCell ref="G4:G5"/>
    <mergeCell ref="A4:A5"/>
    <mergeCell ref="K15:K16"/>
    <mergeCell ref="K6:K12"/>
    <mergeCell ref="I4:J4"/>
    <mergeCell ref="A1:J1"/>
    <mergeCell ref="A3:J3"/>
    <mergeCell ref="A21:F33"/>
    <mergeCell ref="B4:B5"/>
    <mergeCell ref="C4:C5"/>
    <mergeCell ref="D4:D5"/>
    <mergeCell ref="E4:E5"/>
    <mergeCell ref="F4:F5"/>
  </mergeCells>
  <printOptions/>
  <pageMargins left="0" right="0" top="0" bottom="0" header="0" footer="0"/>
  <pageSetup horizontalDpi="600" verticalDpi="600" orientation="landscape" scale="79" r:id="rId1"/>
</worksheet>
</file>

<file path=xl/worksheets/sheet7.xml><?xml version="1.0" encoding="utf-8"?>
<worksheet xmlns="http://schemas.openxmlformats.org/spreadsheetml/2006/main" xmlns:r="http://schemas.openxmlformats.org/officeDocument/2006/relationships">
  <sheetPr>
    <tabColor theme="5" tint="0.5999900102615356"/>
  </sheetPr>
  <dimension ref="A1:M19"/>
  <sheetViews>
    <sheetView zoomScalePageLayoutView="0" workbookViewId="0" topLeftCell="A1">
      <selection activeCell="B16" sqref="B16"/>
    </sheetView>
  </sheetViews>
  <sheetFormatPr defaultColWidth="9.140625" defaultRowHeight="15"/>
  <cols>
    <col min="1" max="1" width="43.00390625" style="0" customWidth="1"/>
    <col min="2" max="2" width="10.28125" style="69" customWidth="1"/>
    <col min="3" max="3" width="8.421875" style="0" bestFit="1" customWidth="1"/>
    <col min="4" max="4" width="10.7109375" style="0" customWidth="1"/>
    <col min="5" max="5" width="13.57421875" style="0" customWidth="1"/>
    <col min="6" max="6" width="11.28125" style="0" customWidth="1"/>
    <col min="7" max="7" width="12.140625" style="0" customWidth="1"/>
    <col min="8" max="8" width="2.421875" style="0" customWidth="1"/>
    <col min="9" max="9" width="12.8515625" style="0" customWidth="1"/>
    <col min="10" max="10" width="8.57421875" style="0" customWidth="1"/>
    <col min="11" max="11" width="9.7109375" style="0" customWidth="1"/>
    <col min="12" max="12" width="7.421875" style="0" customWidth="1"/>
  </cols>
  <sheetData>
    <row r="1" spans="1:12" ht="28.5">
      <c r="A1" s="274" t="s">
        <v>28</v>
      </c>
      <c r="B1" s="274"/>
      <c r="C1" s="274"/>
      <c r="D1" s="274"/>
      <c r="E1" s="274"/>
      <c r="F1" s="274"/>
      <c r="G1" s="274"/>
      <c r="H1" s="274"/>
      <c r="I1" s="274"/>
      <c r="J1" s="274"/>
      <c r="K1" s="274"/>
      <c r="L1" s="274"/>
    </row>
    <row r="2" spans="1:12" ht="28.5">
      <c r="A2" s="275" t="s">
        <v>2</v>
      </c>
      <c r="B2" s="275"/>
      <c r="C2" s="275"/>
      <c r="D2" s="275"/>
      <c r="E2" s="275"/>
      <c r="F2" s="275"/>
      <c r="G2" s="275"/>
      <c r="H2" s="275"/>
      <c r="I2" s="275"/>
      <c r="J2" s="275"/>
      <c r="K2" s="275"/>
      <c r="L2" s="275"/>
    </row>
    <row r="3" spans="1:12" ht="16.5" customHeight="1">
      <c r="A3" s="278" t="s">
        <v>6</v>
      </c>
      <c r="B3" s="281" t="s">
        <v>3</v>
      </c>
      <c r="C3" s="278" t="s">
        <v>7</v>
      </c>
      <c r="D3" s="278" t="s">
        <v>8</v>
      </c>
      <c r="E3" s="278" t="s">
        <v>23</v>
      </c>
      <c r="F3" s="278" t="s">
        <v>24</v>
      </c>
      <c r="G3" s="278" t="s">
        <v>25</v>
      </c>
      <c r="I3" s="285" t="s">
        <v>26</v>
      </c>
      <c r="J3" s="286"/>
      <c r="K3" s="286"/>
      <c r="L3" s="286"/>
    </row>
    <row r="4" spans="1:12" ht="16.5" customHeight="1">
      <c r="A4" s="279"/>
      <c r="B4" s="282"/>
      <c r="C4" s="279"/>
      <c r="D4" s="279"/>
      <c r="E4" s="279"/>
      <c r="F4" s="279"/>
      <c r="G4" s="279"/>
      <c r="H4" s="19"/>
      <c r="I4" s="276" t="s">
        <v>58</v>
      </c>
      <c r="J4" s="276" t="s">
        <v>75</v>
      </c>
      <c r="K4" s="276" t="s">
        <v>62</v>
      </c>
      <c r="L4" s="276" t="s">
        <v>70</v>
      </c>
    </row>
    <row r="5" spans="1:12" ht="16.5" customHeight="1">
      <c r="A5" s="280"/>
      <c r="B5" s="283"/>
      <c r="C5" s="280"/>
      <c r="D5" s="280"/>
      <c r="E5" s="280"/>
      <c r="F5" s="280"/>
      <c r="G5" s="280"/>
      <c r="H5" s="20"/>
      <c r="I5" s="277"/>
      <c r="J5" s="277"/>
      <c r="K5" s="277"/>
      <c r="L5" s="277"/>
    </row>
    <row r="6" spans="1:13" ht="16.5" customHeight="1">
      <c r="A6" s="97" t="str">
        <f>'Office Sharing Payment Ratio'!A5</f>
        <v>SNAP</v>
      </c>
      <c r="B6" s="104"/>
      <c r="C6" s="98">
        <f>'Office Sharing Payment Ratio'!B5</f>
        <v>1</v>
      </c>
      <c r="D6" s="98">
        <f>'Office Sharing Payment Ratio'!C5</f>
        <v>15</v>
      </c>
      <c r="E6" s="105">
        <f>D6/37.5</f>
        <v>0.4</v>
      </c>
      <c r="F6" s="106" t="e">
        <f aca="true" t="shared" si="0" ref="F6:F14">E6/$E$18</f>
        <v>#REF!</v>
      </c>
      <c r="G6" s="107" t="e">
        <f aca="true" t="shared" si="1" ref="G6:G17">F6*$F$19</f>
        <v>#REF!</v>
      </c>
      <c r="H6" s="108"/>
      <c r="I6" s="107" t="e">
        <f>G6</f>
        <v>#REF!</v>
      </c>
      <c r="J6" s="109">
        <v>0</v>
      </c>
      <c r="K6" s="109">
        <v>0</v>
      </c>
      <c r="L6" s="102">
        <v>0</v>
      </c>
      <c r="M6" s="284" t="s">
        <v>130</v>
      </c>
    </row>
    <row r="7" spans="1:13" ht="16.5" customHeight="1">
      <c r="A7" s="97" t="str">
        <f>'Office Sharing Payment Ratio'!A6</f>
        <v>RESEA</v>
      </c>
      <c r="B7" s="104"/>
      <c r="C7" s="98">
        <f>'Office Sharing Payment Ratio'!B6</f>
        <v>1</v>
      </c>
      <c r="D7" s="98">
        <f>'Office Sharing Payment Ratio'!C6</f>
        <v>10</v>
      </c>
      <c r="E7" s="105">
        <f>D7/37.5</f>
        <v>0.26666666666666666</v>
      </c>
      <c r="F7" s="106" t="e">
        <f t="shared" si="0"/>
        <v>#REF!</v>
      </c>
      <c r="G7" s="107" t="e">
        <f t="shared" si="1"/>
        <v>#REF!</v>
      </c>
      <c r="H7" s="108"/>
      <c r="I7" s="107" t="e">
        <f>G7</f>
        <v>#REF!</v>
      </c>
      <c r="J7" s="109">
        <v>0</v>
      </c>
      <c r="K7" s="109">
        <v>0</v>
      </c>
      <c r="L7" s="102">
        <v>0</v>
      </c>
      <c r="M7" s="284"/>
    </row>
    <row r="8" spans="1:13" s="68" customFormat="1" ht="15" customHeight="1">
      <c r="A8" s="97" t="str">
        <f>'Office Sharing Payment Ratio'!A7</f>
        <v>VETS</v>
      </c>
      <c r="B8" s="110"/>
      <c r="C8" s="98">
        <f>'Office Sharing Payment Ratio'!B7</f>
        <v>1</v>
      </c>
      <c r="D8" s="98">
        <f>'Office Sharing Payment Ratio'!C7</f>
        <v>37.5</v>
      </c>
      <c r="E8" s="105">
        <f aca="true" t="shared" si="2" ref="E8:E17">D8/37.5</f>
        <v>1</v>
      </c>
      <c r="F8" s="106" t="e">
        <f t="shared" si="0"/>
        <v>#REF!</v>
      </c>
      <c r="G8" s="107" t="e">
        <f t="shared" si="1"/>
        <v>#REF!</v>
      </c>
      <c r="H8" s="108"/>
      <c r="I8" s="107" t="e">
        <f>G8</f>
        <v>#REF!</v>
      </c>
      <c r="J8" s="109">
        <v>0</v>
      </c>
      <c r="K8" s="109">
        <v>0</v>
      </c>
      <c r="L8" s="102">
        <v>0</v>
      </c>
      <c r="M8" s="284"/>
    </row>
    <row r="9" spans="1:13" ht="16.5" customHeight="1">
      <c r="A9" s="97" t="e">
        <f>'Office Sharing Payment Ratio'!#REF!</f>
        <v>#REF!</v>
      </c>
      <c r="B9" s="104"/>
      <c r="C9" s="98" t="e">
        <f>'Office Sharing Payment Ratio'!#REF!</f>
        <v>#REF!</v>
      </c>
      <c r="D9" s="98" t="e">
        <f>'Office Sharing Payment Ratio'!#REF!</f>
        <v>#REF!</v>
      </c>
      <c r="E9" s="105" t="e">
        <f t="shared" si="2"/>
        <v>#REF!</v>
      </c>
      <c r="F9" s="106" t="e">
        <f t="shared" si="0"/>
        <v>#REF!</v>
      </c>
      <c r="G9" s="107" t="e">
        <f t="shared" si="1"/>
        <v>#REF!</v>
      </c>
      <c r="H9" s="108"/>
      <c r="I9" s="107" t="e">
        <f>G9</f>
        <v>#REF!</v>
      </c>
      <c r="J9" s="109">
        <v>0</v>
      </c>
      <c r="K9" s="109">
        <v>0</v>
      </c>
      <c r="L9" s="102">
        <v>0</v>
      </c>
      <c r="M9" s="284"/>
    </row>
    <row r="10" spans="1:13" ht="16.5" customHeight="1">
      <c r="A10" s="97" t="str">
        <f>'Office Sharing Payment Ratio'!A8</f>
        <v>TAA</v>
      </c>
      <c r="B10" s="104"/>
      <c r="C10" s="98">
        <f>'Office Sharing Payment Ratio'!B8</f>
        <v>1</v>
      </c>
      <c r="D10" s="98">
        <f>'Office Sharing Payment Ratio'!C8</f>
        <v>5</v>
      </c>
      <c r="E10" s="105">
        <f t="shared" si="2"/>
        <v>0.13333333333333333</v>
      </c>
      <c r="F10" s="106" t="e">
        <f t="shared" si="0"/>
        <v>#REF!</v>
      </c>
      <c r="G10" s="107" t="e">
        <f t="shared" si="1"/>
        <v>#REF!</v>
      </c>
      <c r="H10" s="108"/>
      <c r="I10" s="107" t="e">
        <f aca="true" t="shared" si="3" ref="I10:I17">G10</f>
        <v>#REF!</v>
      </c>
      <c r="J10" s="109">
        <v>0</v>
      </c>
      <c r="K10" s="109">
        <v>0</v>
      </c>
      <c r="L10" s="102">
        <v>0</v>
      </c>
      <c r="M10" s="284"/>
    </row>
    <row r="11" spans="1:13" ht="16.5" customHeight="1">
      <c r="A11" s="97" t="str">
        <f>'Office Sharing Payment Ratio'!A9</f>
        <v>Wagner-Peyser Employment Services (ES)</v>
      </c>
      <c r="B11" s="104"/>
      <c r="C11" s="98">
        <f>'Office Sharing Payment Ratio'!B9</f>
        <v>3</v>
      </c>
      <c r="D11" s="98">
        <f>'Office Sharing Payment Ratio'!C9</f>
        <v>195</v>
      </c>
      <c r="E11" s="105">
        <f t="shared" si="2"/>
        <v>5.2</v>
      </c>
      <c r="F11" s="106" t="e">
        <f t="shared" si="0"/>
        <v>#REF!</v>
      </c>
      <c r="G11" s="107" t="e">
        <f t="shared" si="1"/>
        <v>#REF!</v>
      </c>
      <c r="H11" s="108"/>
      <c r="I11" s="107" t="e">
        <f t="shared" si="3"/>
        <v>#REF!</v>
      </c>
      <c r="J11" s="109">
        <v>0</v>
      </c>
      <c r="K11" s="109">
        <v>0</v>
      </c>
      <c r="L11" s="102">
        <v>0</v>
      </c>
      <c r="M11" s="284"/>
    </row>
    <row r="12" spans="1:13" ht="16.5" customHeight="1">
      <c r="A12" s="97" t="str">
        <f>'Office Sharing Payment Ratio'!A11</f>
        <v>WIOA Adult, Dislocated Workers, and Youth Programs</v>
      </c>
      <c r="B12" s="104">
        <v>1</v>
      </c>
      <c r="C12" s="98">
        <f>'Office Sharing Payment Ratio'!B11</f>
        <v>2</v>
      </c>
      <c r="D12" s="98">
        <f>'Office Sharing Payment Ratio'!C11</f>
        <v>67.5</v>
      </c>
      <c r="E12" s="105">
        <f t="shared" si="2"/>
        <v>1.8</v>
      </c>
      <c r="F12" s="106" t="e">
        <f t="shared" si="0"/>
        <v>#REF!</v>
      </c>
      <c r="G12" s="107" t="e">
        <f t="shared" si="1"/>
        <v>#REF!</v>
      </c>
      <c r="H12" s="108"/>
      <c r="I12" s="107" t="e">
        <f t="shared" si="3"/>
        <v>#REF!</v>
      </c>
      <c r="J12" s="109">
        <v>0</v>
      </c>
      <c r="K12" s="109">
        <v>0</v>
      </c>
      <c r="L12" s="102">
        <v>0</v>
      </c>
      <c r="M12" s="284"/>
    </row>
    <row r="13" spans="1:13" ht="16.5" customHeight="1">
      <c r="A13" s="77" t="str">
        <f>'Office Sharing Payment Ratio'!A12</f>
        <v>WIOA Adult, Dislocated Workers, and Youth Programs</v>
      </c>
      <c r="B13" s="129">
        <v>1</v>
      </c>
      <c r="C13" s="130">
        <f>'Office Sharing Payment Ratio'!B12</f>
        <v>1</v>
      </c>
      <c r="D13" s="130">
        <f>'Office Sharing Payment Ratio'!C12</f>
        <v>45</v>
      </c>
      <c r="E13" s="125">
        <f t="shared" si="2"/>
        <v>1.2</v>
      </c>
      <c r="F13" s="121" t="e">
        <f t="shared" si="0"/>
        <v>#REF!</v>
      </c>
      <c r="G13" s="132" t="e">
        <f t="shared" si="1"/>
        <v>#REF!</v>
      </c>
      <c r="H13" s="133"/>
      <c r="I13" s="132" t="e">
        <f t="shared" si="3"/>
        <v>#REF!</v>
      </c>
      <c r="J13" s="128">
        <v>0</v>
      </c>
      <c r="K13" s="128">
        <v>0</v>
      </c>
      <c r="L13" s="124">
        <v>0</v>
      </c>
      <c r="M13" s="82" t="s">
        <v>133</v>
      </c>
    </row>
    <row r="14" spans="1:13" ht="16.5" customHeight="1">
      <c r="A14" s="83" t="str">
        <f>'Office Sharing Payment Ratio'!A13</f>
        <v>WIOA Adult, Dislocated Workers, and Youth Programs</v>
      </c>
      <c r="B14" s="141">
        <v>1</v>
      </c>
      <c r="C14" s="136">
        <f>'Office Sharing Payment Ratio'!B13</f>
        <v>2</v>
      </c>
      <c r="D14" s="136">
        <f>'Office Sharing Payment Ratio'!C13</f>
        <v>75</v>
      </c>
      <c r="E14" s="142">
        <f t="shared" si="2"/>
        <v>2</v>
      </c>
      <c r="F14" s="143" t="e">
        <f t="shared" si="0"/>
        <v>#REF!</v>
      </c>
      <c r="G14" s="144" t="e">
        <f t="shared" si="1"/>
        <v>#REF!</v>
      </c>
      <c r="H14" s="145"/>
      <c r="I14" s="144" t="e">
        <f t="shared" si="3"/>
        <v>#REF!</v>
      </c>
      <c r="J14" s="146">
        <v>0</v>
      </c>
      <c r="K14" s="146">
        <v>0</v>
      </c>
      <c r="L14" s="140">
        <v>0</v>
      </c>
      <c r="M14" s="88" t="s">
        <v>128</v>
      </c>
    </row>
    <row r="15" spans="1:13" ht="16.5" customHeight="1">
      <c r="A15" s="89" t="str">
        <f>'Office Sharing Payment Ratio'!A14</f>
        <v>WIOA Adult, Dislocated Workers, and Youth Programs</v>
      </c>
      <c r="B15" s="168">
        <v>1</v>
      </c>
      <c r="C15" s="166">
        <f>'Office Sharing Payment Ratio'!B14</f>
        <v>1</v>
      </c>
      <c r="D15" s="166">
        <f>'Office Sharing Payment Ratio'!C14</f>
        <v>57.5</v>
      </c>
      <c r="E15" s="162">
        <f t="shared" si="2"/>
        <v>1.5333333333333334</v>
      </c>
      <c r="F15" s="158">
        <v>0.0521</v>
      </c>
      <c r="G15" s="169">
        <f t="shared" si="1"/>
        <v>0</v>
      </c>
      <c r="H15" s="170"/>
      <c r="I15" s="169">
        <f t="shared" si="3"/>
        <v>0</v>
      </c>
      <c r="J15" s="165">
        <v>0</v>
      </c>
      <c r="K15" s="165">
        <v>0</v>
      </c>
      <c r="L15" s="161">
        <v>0</v>
      </c>
      <c r="M15" s="94" t="s">
        <v>137</v>
      </c>
    </row>
    <row r="16" spans="1:13" ht="16.5" customHeight="1">
      <c r="A16" s="89" t="s">
        <v>76</v>
      </c>
      <c r="B16" s="168"/>
      <c r="C16" s="166"/>
      <c r="D16" s="166"/>
      <c r="E16" s="162"/>
      <c r="F16" s="158"/>
      <c r="G16" s="169"/>
      <c r="H16" s="170"/>
      <c r="I16" s="169"/>
      <c r="J16" s="165"/>
      <c r="K16" s="165"/>
      <c r="L16" s="161"/>
      <c r="M16" s="94"/>
    </row>
    <row r="17" spans="1:13" ht="16.5" customHeight="1">
      <c r="A17" s="95" t="e">
        <f>'Office Sharing Payment Ratio'!#REF!</f>
        <v>#REF!</v>
      </c>
      <c r="B17" s="174">
        <v>1</v>
      </c>
      <c r="C17" s="173" t="e">
        <f>'Office Sharing Payment Ratio'!#REF!</f>
        <v>#REF!</v>
      </c>
      <c r="D17" s="173" t="e">
        <f>'Office Sharing Payment Ratio'!#REF!</f>
        <v>#REF!</v>
      </c>
      <c r="E17" s="175" t="e">
        <f t="shared" si="2"/>
        <v>#REF!</v>
      </c>
      <c r="F17" s="153" t="e">
        <f>E17/$E$18</f>
        <v>#REF!</v>
      </c>
      <c r="G17" s="176" t="e">
        <f t="shared" si="1"/>
        <v>#REF!</v>
      </c>
      <c r="H17" s="177"/>
      <c r="I17" s="176" t="e">
        <f t="shared" si="3"/>
        <v>#REF!</v>
      </c>
      <c r="J17" s="178">
        <v>0</v>
      </c>
      <c r="K17" s="178">
        <v>0</v>
      </c>
      <c r="L17" s="156">
        <v>0</v>
      </c>
      <c r="M17" s="96" t="s">
        <v>138</v>
      </c>
    </row>
    <row r="18" spans="1:12" ht="16.5" customHeight="1">
      <c r="A18" s="1" t="s">
        <v>27</v>
      </c>
      <c r="B18" s="26" t="e">
        <f>SUM(B6:B7,B11:B12,B14:B17,#REF!,#REF!)</f>
        <v>#REF!</v>
      </c>
      <c r="C18" s="5"/>
      <c r="D18" s="5"/>
      <c r="E18" s="36" t="e">
        <f>SUM(E6:E17)</f>
        <v>#REF!</v>
      </c>
      <c r="F18" s="35" t="e">
        <f>SUM(F6:F17)</f>
        <v>#REF!</v>
      </c>
      <c r="G18" s="2" t="e">
        <f>SUM(G6:G17)</f>
        <v>#REF!</v>
      </c>
      <c r="H18" s="17"/>
      <c r="I18" s="2" t="e">
        <f>SUM(I6:I17)</f>
        <v>#REF!</v>
      </c>
      <c r="J18" s="2">
        <f>SUM(J6:J17)</f>
        <v>0</v>
      </c>
      <c r="K18" s="2">
        <f>SUM(K6:K17)</f>
        <v>0</v>
      </c>
      <c r="L18" s="45"/>
    </row>
    <row r="19" spans="5:12" ht="15">
      <c r="E19" t="s">
        <v>61</v>
      </c>
      <c r="F19" s="37">
        <v>0</v>
      </c>
      <c r="L19" s="45"/>
    </row>
  </sheetData>
  <sheetProtection/>
  <mergeCells count="15">
    <mergeCell ref="F3:F5"/>
    <mergeCell ref="M6:M12"/>
    <mergeCell ref="G3:G5"/>
    <mergeCell ref="L4:L5"/>
    <mergeCell ref="I3:L3"/>
    <mergeCell ref="A1:L1"/>
    <mergeCell ref="A2:L2"/>
    <mergeCell ref="I4:I5"/>
    <mergeCell ref="J4:J5"/>
    <mergeCell ref="K4:K5"/>
    <mergeCell ref="A3:A5"/>
    <mergeCell ref="B3:B5"/>
    <mergeCell ref="C3:C5"/>
    <mergeCell ref="D3:D5"/>
    <mergeCell ref="E3:E5"/>
  </mergeCells>
  <printOptions/>
  <pageMargins left="0" right="0" top="0" bottom="0" header="0" footer="0"/>
  <pageSetup horizontalDpi="600" verticalDpi="600" orientation="landscape" scale="85"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1:M24"/>
  <sheetViews>
    <sheetView zoomScalePageLayoutView="0" workbookViewId="0" topLeftCell="A1">
      <selection activeCell="D13" sqref="D13"/>
    </sheetView>
  </sheetViews>
  <sheetFormatPr defaultColWidth="9.140625" defaultRowHeight="15"/>
  <cols>
    <col min="1" max="1" width="44.421875" style="0" bestFit="1" customWidth="1"/>
    <col min="2" max="2" width="15.00390625" style="0" customWidth="1"/>
    <col min="5" max="5" width="12.421875" style="0" customWidth="1"/>
    <col min="6" max="6" width="19.00390625" style="0" customWidth="1"/>
    <col min="7" max="7" width="14.421875" style="0" customWidth="1"/>
    <col min="9" max="9" width="10.57421875" style="0" customWidth="1"/>
    <col min="10" max="10" width="9.8515625" style="0" customWidth="1"/>
    <col min="11" max="11" width="9.28125" style="0" customWidth="1"/>
    <col min="12" max="12" width="8.421875" style="0" customWidth="1"/>
  </cols>
  <sheetData>
    <row r="1" spans="1:12" ht="26.25">
      <c r="A1" s="299" t="s">
        <v>34</v>
      </c>
      <c r="B1" s="299"/>
      <c r="C1" s="299"/>
      <c r="D1" s="299"/>
      <c r="E1" s="299"/>
      <c r="F1" s="299"/>
      <c r="G1" s="299"/>
      <c r="H1" s="299"/>
      <c r="I1" s="299"/>
      <c r="J1" s="299"/>
      <c r="K1" s="299"/>
      <c r="L1" s="299"/>
    </row>
    <row r="2" spans="1:12" ht="26.25">
      <c r="A2" s="300" t="s">
        <v>2</v>
      </c>
      <c r="B2" s="300"/>
      <c r="C2" s="300"/>
      <c r="D2" s="300"/>
      <c r="E2" s="300"/>
      <c r="F2" s="300"/>
      <c r="G2" s="300"/>
      <c r="H2" s="300"/>
      <c r="I2" s="300"/>
      <c r="J2" s="300"/>
      <c r="K2" s="300"/>
      <c r="L2" s="300"/>
    </row>
    <row r="3" spans="1:12" ht="16.5" customHeight="1">
      <c r="A3" s="22"/>
      <c r="B3" s="22"/>
      <c r="C3" s="22"/>
      <c r="D3" s="22"/>
      <c r="E3" s="22"/>
      <c r="F3" s="22"/>
      <c r="G3" s="22"/>
      <c r="I3" s="297" t="s">
        <v>32</v>
      </c>
      <c r="J3" s="298"/>
      <c r="K3" s="298"/>
      <c r="L3" s="298"/>
    </row>
    <row r="4" spans="1:12" ht="16.5" customHeight="1">
      <c r="A4" s="295" t="s">
        <v>6</v>
      </c>
      <c r="B4" s="287" t="s">
        <v>4</v>
      </c>
      <c r="C4" s="295" t="s">
        <v>7</v>
      </c>
      <c r="D4" s="295" t="s">
        <v>8</v>
      </c>
      <c r="E4" s="301" t="s">
        <v>29</v>
      </c>
      <c r="F4" s="287" t="s">
        <v>30</v>
      </c>
      <c r="G4" s="287" t="s">
        <v>31</v>
      </c>
      <c r="I4" s="292"/>
      <c r="J4" s="294"/>
      <c r="K4" s="294"/>
      <c r="L4" s="294"/>
    </row>
    <row r="5" spans="1:12" ht="16.5" customHeight="1">
      <c r="A5" s="295"/>
      <c r="B5" s="287"/>
      <c r="C5" s="295"/>
      <c r="D5" s="295"/>
      <c r="E5" s="301"/>
      <c r="F5" s="287"/>
      <c r="G5" s="287"/>
      <c r="H5" s="7"/>
      <c r="I5" s="291" t="s">
        <v>22</v>
      </c>
      <c r="J5" s="293" t="s">
        <v>75</v>
      </c>
      <c r="K5" s="293" t="s">
        <v>62</v>
      </c>
      <c r="L5" s="293" t="s">
        <v>70</v>
      </c>
    </row>
    <row r="6" spans="1:12" ht="33" customHeight="1">
      <c r="A6" s="296"/>
      <c r="B6" s="288"/>
      <c r="C6" s="296"/>
      <c r="D6" s="296"/>
      <c r="E6" s="302"/>
      <c r="F6" s="288"/>
      <c r="G6" s="288"/>
      <c r="H6" s="8"/>
      <c r="I6" s="292"/>
      <c r="J6" s="294"/>
      <c r="K6" s="294"/>
      <c r="L6" s="294"/>
    </row>
    <row r="7" spans="1:13" ht="16.5" customHeight="1">
      <c r="A7" s="97" t="str">
        <f>'Office Sharing Payment Ratio'!A6</f>
        <v>RESEA</v>
      </c>
      <c r="B7" s="105">
        <v>0</v>
      </c>
      <c r="C7" s="98">
        <f>'Office Sharing Payment Ratio'!B6</f>
        <v>1</v>
      </c>
      <c r="D7" s="98">
        <f>'Office Sharing Payment Ratio'!C6</f>
        <v>10</v>
      </c>
      <c r="E7" s="105">
        <f>D7/37.5</f>
        <v>0.26666666666666666</v>
      </c>
      <c r="F7" s="106" t="e">
        <f aca="true" t="shared" si="0" ref="F7:F15">E7/$E$18</f>
        <v>#REF!</v>
      </c>
      <c r="G7" s="111" t="e">
        <f aca="true" t="shared" si="1" ref="G7:G17">F7*$F$19</f>
        <v>#REF!</v>
      </c>
      <c r="H7" s="101"/>
      <c r="I7" s="111" t="e">
        <f>G7</f>
        <v>#REF!</v>
      </c>
      <c r="J7" s="109">
        <v>0</v>
      </c>
      <c r="K7" s="109">
        <v>0</v>
      </c>
      <c r="L7" s="102">
        <v>0</v>
      </c>
      <c r="M7" s="284" t="s">
        <v>130</v>
      </c>
    </row>
    <row r="8" spans="1:13" ht="16.5" customHeight="1">
      <c r="A8" s="97" t="str">
        <f>'Office Sharing Payment Ratio'!A7</f>
        <v>VETS</v>
      </c>
      <c r="B8" s="105">
        <v>1</v>
      </c>
      <c r="C8" s="98">
        <f>'Office Sharing Payment Ratio'!B7</f>
        <v>1</v>
      </c>
      <c r="D8" s="98">
        <f>'Office Sharing Payment Ratio'!C7</f>
        <v>37.5</v>
      </c>
      <c r="E8" s="105">
        <f aca="true" t="shared" si="2" ref="E8:E17">D8/37.5</f>
        <v>1</v>
      </c>
      <c r="F8" s="106" t="e">
        <f t="shared" si="0"/>
        <v>#REF!</v>
      </c>
      <c r="G8" s="111" t="e">
        <f t="shared" si="1"/>
        <v>#REF!</v>
      </c>
      <c r="H8" s="101"/>
      <c r="I8" s="111" t="e">
        <f>G8</f>
        <v>#REF!</v>
      </c>
      <c r="J8" s="109">
        <v>0</v>
      </c>
      <c r="K8" s="109">
        <v>0</v>
      </c>
      <c r="L8" s="102">
        <v>0</v>
      </c>
      <c r="M8" s="284"/>
    </row>
    <row r="9" spans="1:13" s="68" customFormat="1" ht="15" customHeight="1">
      <c r="A9" s="97" t="e">
        <f>'Office Sharing Payment Ratio'!#REF!</f>
        <v>#REF!</v>
      </c>
      <c r="B9" s="112">
        <v>0</v>
      </c>
      <c r="C9" s="98" t="e">
        <f>'Office Sharing Payment Ratio'!#REF!</f>
        <v>#REF!</v>
      </c>
      <c r="D9" s="98" t="e">
        <f>'Office Sharing Payment Ratio'!#REF!</f>
        <v>#REF!</v>
      </c>
      <c r="E9" s="105" t="e">
        <f t="shared" si="2"/>
        <v>#REF!</v>
      </c>
      <c r="F9" s="106" t="e">
        <f t="shared" si="0"/>
        <v>#REF!</v>
      </c>
      <c r="G9" s="111" t="e">
        <f t="shared" si="1"/>
        <v>#REF!</v>
      </c>
      <c r="H9" s="103"/>
      <c r="I9" s="111" t="e">
        <f>G9</f>
        <v>#REF!</v>
      </c>
      <c r="J9" s="113"/>
      <c r="K9" s="113"/>
      <c r="L9" s="114"/>
      <c r="M9" s="284"/>
    </row>
    <row r="10" spans="1:13" ht="16.5" customHeight="1">
      <c r="A10" s="97" t="str">
        <f>'Office Sharing Payment Ratio'!A8</f>
        <v>TAA</v>
      </c>
      <c r="B10" s="104">
        <v>0</v>
      </c>
      <c r="C10" s="98">
        <f>'Office Sharing Payment Ratio'!B8</f>
        <v>1</v>
      </c>
      <c r="D10" s="98">
        <f>'Office Sharing Payment Ratio'!C8</f>
        <v>5</v>
      </c>
      <c r="E10" s="105">
        <f t="shared" si="2"/>
        <v>0.13333333333333333</v>
      </c>
      <c r="F10" s="106" t="e">
        <f t="shared" si="0"/>
        <v>#REF!</v>
      </c>
      <c r="G10" s="111" t="e">
        <f t="shared" si="1"/>
        <v>#REF!</v>
      </c>
      <c r="H10" s="101"/>
      <c r="I10" s="111" t="e">
        <f aca="true" t="shared" si="3" ref="I10:I17">G10</f>
        <v>#REF!</v>
      </c>
      <c r="J10" s="109">
        <v>0</v>
      </c>
      <c r="K10" s="109">
        <v>0</v>
      </c>
      <c r="L10" s="102">
        <v>0</v>
      </c>
      <c r="M10" s="284"/>
    </row>
    <row r="11" spans="1:13" ht="16.5" customHeight="1">
      <c r="A11" s="97" t="str">
        <f>'Office Sharing Payment Ratio'!A9</f>
        <v>Wagner-Peyser Employment Services (ES)</v>
      </c>
      <c r="B11" s="104">
        <v>0</v>
      </c>
      <c r="C11" s="98">
        <f>'Office Sharing Payment Ratio'!B9</f>
        <v>3</v>
      </c>
      <c r="D11" s="98">
        <f>'Office Sharing Payment Ratio'!C9</f>
        <v>195</v>
      </c>
      <c r="E11" s="105">
        <f t="shared" si="2"/>
        <v>5.2</v>
      </c>
      <c r="F11" s="106" t="e">
        <f t="shared" si="0"/>
        <v>#REF!</v>
      </c>
      <c r="G11" s="111" t="e">
        <f t="shared" si="1"/>
        <v>#REF!</v>
      </c>
      <c r="H11" s="101"/>
      <c r="I11" s="111" t="e">
        <f t="shared" si="3"/>
        <v>#REF!</v>
      </c>
      <c r="J11" s="109">
        <v>0</v>
      </c>
      <c r="K11" s="109">
        <v>0</v>
      </c>
      <c r="L11" s="102">
        <v>0</v>
      </c>
      <c r="M11" s="284"/>
    </row>
    <row r="12" spans="1:13" ht="16.5" customHeight="1">
      <c r="A12" s="97" t="s">
        <v>80</v>
      </c>
      <c r="B12" s="105">
        <v>1</v>
      </c>
      <c r="C12" s="98">
        <f>'Office Sharing Payment Ratio'!B11</f>
        <v>2</v>
      </c>
      <c r="D12" s="98">
        <v>15</v>
      </c>
      <c r="E12" s="105">
        <f t="shared" si="2"/>
        <v>0.4</v>
      </c>
      <c r="F12" s="106" t="e">
        <f t="shared" si="0"/>
        <v>#REF!</v>
      </c>
      <c r="G12" s="111" t="e">
        <f t="shared" si="1"/>
        <v>#REF!</v>
      </c>
      <c r="H12" s="101"/>
      <c r="I12" s="111" t="e">
        <f t="shared" si="3"/>
        <v>#REF!</v>
      </c>
      <c r="J12" s="109">
        <v>0</v>
      </c>
      <c r="K12" s="109">
        <v>0</v>
      </c>
      <c r="L12" s="102">
        <v>0</v>
      </c>
      <c r="M12" s="284"/>
    </row>
    <row r="13" spans="1:13" ht="16.5" customHeight="1">
      <c r="A13" s="97" t="str">
        <f>'Office Sharing Payment Ratio'!A12</f>
        <v>WIOA Adult, Dislocated Workers, and Youth Programs</v>
      </c>
      <c r="B13" s="105">
        <v>2</v>
      </c>
      <c r="C13" s="98">
        <f>'Office Sharing Payment Ratio'!B12</f>
        <v>1</v>
      </c>
      <c r="D13" s="98">
        <f>'Office Sharing Payment Ratio'!C12</f>
        <v>45</v>
      </c>
      <c r="E13" s="105">
        <f t="shared" si="2"/>
        <v>1.2</v>
      </c>
      <c r="F13" s="106" t="e">
        <f t="shared" si="0"/>
        <v>#REF!</v>
      </c>
      <c r="G13" s="111" t="e">
        <f t="shared" si="1"/>
        <v>#REF!</v>
      </c>
      <c r="H13" s="101"/>
      <c r="I13" s="111" t="e">
        <f t="shared" si="3"/>
        <v>#REF!</v>
      </c>
      <c r="J13" s="109">
        <v>0</v>
      </c>
      <c r="K13" s="109">
        <v>0</v>
      </c>
      <c r="L13" s="102">
        <v>0</v>
      </c>
      <c r="M13" s="284"/>
    </row>
    <row r="14" spans="1:13" ht="16.5" customHeight="1">
      <c r="A14" s="77" t="str">
        <f>'Office Sharing Payment Ratio'!A13</f>
        <v>WIOA Adult, Dislocated Workers, and Youth Programs</v>
      </c>
      <c r="B14" s="129">
        <v>2</v>
      </c>
      <c r="C14" s="130">
        <f>'Office Sharing Payment Ratio'!B13</f>
        <v>2</v>
      </c>
      <c r="D14" s="130">
        <f>'Office Sharing Payment Ratio'!C13</f>
        <v>75</v>
      </c>
      <c r="E14" s="125">
        <f t="shared" si="2"/>
        <v>2</v>
      </c>
      <c r="F14" s="121" t="e">
        <f t="shared" si="0"/>
        <v>#REF!</v>
      </c>
      <c r="G14" s="131" t="e">
        <f t="shared" si="1"/>
        <v>#REF!</v>
      </c>
      <c r="H14" s="123"/>
      <c r="I14" s="131" t="e">
        <f t="shared" si="3"/>
        <v>#REF!</v>
      </c>
      <c r="J14" s="128">
        <v>0</v>
      </c>
      <c r="K14" s="128">
        <v>0</v>
      </c>
      <c r="L14" s="124">
        <v>0</v>
      </c>
      <c r="M14" s="82" t="s">
        <v>133</v>
      </c>
    </row>
    <row r="15" spans="1:13" ht="16.5" customHeight="1">
      <c r="A15" s="83" t="str">
        <f>'Office Sharing Payment Ratio'!A14</f>
        <v>WIOA Adult, Dislocated Workers, and Youth Programs</v>
      </c>
      <c r="B15" s="142">
        <v>2</v>
      </c>
      <c r="C15" s="136">
        <f>'Office Sharing Payment Ratio'!B14</f>
        <v>1</v>
      </c>
      <c r="D15" s="136">
        <f>'Office Sharing Payment Ratio'!C14</f>
        <v>57.5</v>
      </c>
      <c r="E15" s="142">
        <f t="shared" si="2"/>
        <v>1.5333333333333334</v>
      </c>
      <c r="F15" s="143" t="e">
        <f t="shared" si="0"/>
        <v>#REF!</v>
      </c>
      <c r="G15" s="147" t="e">
        <f t="shared" si="1"/>
        <v>#REF!</v>
      </c>
      <c r="H15" s="139"/>
      <c r="I15" s="147" t="e">
        <f t="shared" si="3"/>
        <v>#REF!</v>
      </c>
      <c r="J15" s="146">
        <v>0</v>
      </c>
      <c r="K15" s="146">
        <v>0</v>
      </c>
      <c r="L15" s="140">
        <v>0</v>
      </c>
      <c r="M15" s="88" t="s">
        <v>128</v>
      </c>
    </row>
    <row r="16" spans="1:13" ht="16.5" customHeight="1">
      <c r="A16" s="89" t="e">
        <f>'Office Sharing Payment Ratio'!#REF!</f>
        <v>#REF!</v>
      </c>
      <c r="B16" s="162">
        <v>2</v>
      </c>
      <c r="C16" s="166" t="e">
        <f>'Office Sharing Payment Ratio'!#REF!</f>
        <v>#REF!</v>
      </c>
      <c r="D16" s="166">
        <v>38</v>
      </c>
      <c r="E16" s="162">
        <f t="shared" si="2"/>
        <v>1.0133333333333334</v>
      </c>
      <c r="F16" s="158">
        <v>0.0521</v>
      </c>
      <c r="G16" s="167">
        <f t="shared" si="1"/>
        <v>0</v>
      </c>
      <c r="H16" s="160"/>
      <c r="I16" s="167">
        <f t="shared" si="3"/>
        <v>0</v>
      </c>
      <c r="J16" s="165">
        <v>0</v>
      </c>
      <c r="K16" s="165">
        <v>0</v>
      </c>
      <c r="L16" s="161">
        <v>0</v>
      </c>
      <c r="M16" s="94" t="s">
        <v>137</v>
      </c>
    </row>
    <row r="17" spans="1:13" ht="16.5" customHeight="1">
      <c r="A17" s="95" t="str">
        <f>'Office Sharing Payment Ratio'!A16</f>
        <v>Total</v>
      </c>
      <c r="B17" s="175">
        <v>2</v>
      </c>
      <c r="C17" s="173">
        <v>1</v>
      </c>
      <c r="D17" s="173">
        <v>38</v>
      </c>
      <c r="E17" s="175">
        <f t="shared" si="2"/>
        <v>1.0133333333333334</v>
      </c>
      <c r="F17" s="153" t="e">
        <f>E17/$E$18</f>
        <v>#REF!</v>
      </c>
      <c r="G17" s="179" t="e">
        <f t="shared" si="1"/>
        <v>#REF!</v>
      </c>
      <c r="H17" s="155"/>
      <c r="I17" s="179" t="e">
        <f t="shared" si="3"/>
        <v>#REF!</v>
      </c>
      <c r="J17" s="178">
        <v>0</v>
      </c>
      <c r="K17" s="178">
        <v>0</v>
      </c>
      <c r="L17" s="156">
        <v>0</v>
      </c>
      <c r="M17" s="96" t="s">
        <v>138</v>
      </c>
    </row>
    <row r="18" spans="1:12" ht="16.5" customHeight="1">
      <c r="A18" s="1" t="s">
        <v>33</v>
      </c>
      <c r="B18" s="26" t="e">
        <f>SUM(B7:B8,B12:B13,B15:B17,#REF!,#REF!)</f>
        <v>#REF!</v>
      </c>
      <c r="C18" s="5"/>
      <c r="D18" s="5"/>
      <c r="E18" s="36" t="e">
        <f>SUM(E7:E17)</f>
        <v>#REF!</v>
      </c>
      <c r="F18" s="35" t="e">
        <f>SUM(F7:F17)</f>
        <v>#REF!</v>
      </c>
      <c r="G18" s="2" t="e">
        <f>SUM(G7:G17)</f>
        <v>#REF!</v>
      </c>
      <c r="H18" s="12"/>
      <c r="I18" s="21" t="e">
        <f>SUM(I7:I17)</f>
        <v>#REF!</v>
      </c>
      <c r="J18" s="21">
        <f>SUM(J7:J17)</f>
        <v>0</v>
      </c>
      <c r="K18" s="21">
        <f>SUM(K7:K17)</f>
        <v>0</v>
      </c>
      <c r="L18" s="45"/>
    </row>
    <row r="19" spans="5:6" ht="15">
      <c r="E19" t="s">
        <v>61</v>
      </c>
      <c r="F19" s="39">
        <v>0</v>
      </c>
    </row>
    <row r="20" spans="1:11" ht="15">
      <c r="A20" s="289" t="s">
        <v>35</v>
      </c>
      <c r="B20" s="290"/>
      <c r="C20" s="290"/>
      <c r="D20" s="290"/>
      <c r="E20" s="290"/>
      <c r="F20" s="290"/>
      <c r="G20" s="290"/>
      <c r="H20" s="290"/>
      <c r="I20" s="290"/>
      <c r="J20" s="290"/>
      <c r="K20" s="290"/>
    </row>
    <row r="21" spans="1:11" ht="15">
      <c r="A21" s="290"/>
      <c r="B21" s="290"/>
      <c r="C21" s="290"/>
      <c r="D21" s="290"/>
      <c r="E21" s="290"/>
      <c r="F21" s="290"/>
      <c r="G21" s="290"/>
      <c r="H21" s="290"/>
      <c r="I21" s="290"/>
      <c r="J21" s="290"/>
      <c r="K21" s="290"/>
    </row>
    <row r="22" spans="1:11" ht="15">
      <c r="A22" s="290"/>
      <c r="B22" s="290"/>
      <c r="C22" s="290"/>
      <c r="D22" s="290"/>
      <c r="E22" s="290"/>
      <c r="F22" s="290"/>
      <c r="G22" s="290"/>
      <c r="H22" s="290"/>
      <c r="I22" s="290"/>
      <c r="J22" s="290"/>
      <c r="K22" s="290"/>
    </row>
    <row r="23" spans="1:11" ht="15">
      <c r="A23" s="290"/>
      <c r="B23" s="290"/>
      <c r="C23" s="290"/>
      <c r="D23" s="290"/>
      <c r="E23" s="290"/>
      <c r="F23" s="290"/>
      <c r="G23" s="290"/>
      <c r="H23" s="290"/>
      <c r="I23" s="290"/>
      <c r="J23" s="290"/>
      <c r="K23" s="290"/>
    </row>
    <row r="24" ht="15">
      <c r="I24" s="41">
        <v>1</v>
      </c>
    </row>
  </sheetData>
  <sheetProtection/>
  <mergeCells count="16">
    <mergeCell ref="M7:M13"/>
    <mergeCell ref="G4:G6"/>
    <mergeCell ref="L5:L6"/>
    <mergeCell ref="I3:L4"/>
    <mergeCell ref="A1:L1"/>
    <mergeCell ref="A2:L2"/>
    <mergeCell ref="B4:B6"/>
    <mergeCell ref="C4:C6"/>
    <mergeCell ref="D4:D6"/>
    <mergeCell ref="E4:E6"/>
    <mergeCell ref="F4:F6"/>
    <mergeCell ref="A20:K23"/>
    <mergeCell ref="I5:I6"/>
    <mergeCell ref="J5:J6"/>
    <mergeCell ref="K5:K6"/>
    <mergeCell ref="A4:A6"/>
  </mergeCells>
  <printOptions/>
  <pageMargins left="0" right="0" top="0" bottom="0" header="0" footer="0"/>
  <pageSetup horizontalDpi="600" verticalDpi="600" orientation="landscape" scale="75"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A2:J36"/>
  <sheetViews>
    <sheetView zoomScalePageLayoutView="0" workbookViewId="0" topLeftCell="C1">
      <selection activeCell="I14" sqref="I14"/>
    </sheetView>
  </sheetViews>
  <sheetFormatPr defaultColWidth="9.140625" defaultRowHeight="15"/>
  <cols>
    <col min="1" max="1" width="32.7109375" style="0" customWidth="1"/>
    <col min="2" max="2" width="7.7109375" style="0" customWidth="1"/>
    <col min="3" max="3" width="13.28125" style="0" customWidth="1"/>
    <col min="4" max="4" width="6.28125" style="0" customWidth="1"/>
    <col min="5" max="5" width="14.57421875" style="0" bestFit="1" customWidth="1"/>
    <col min="6" max="6" width="11.7109375" style="0" bestFit="1" customWidth="1"/>
    <col min="7" max="7" width="3.421875" style="0" customWidth="1"/>
    <col min="8" max="8" width="18.140625" style="0" customWidth="1"/>
    <col min="9" max="9" width="11.7109375" style="0" customWidth="1"/>
    <col min="10" max="10" width="10.57421875" style="0" customWidth="1"/>
  </cols>
  <sheetData>
    <row r="2" spans="1:9" ht="29.25">
      <c r="A2" s="303" t="s">
        <v>40</v>
      </c>
      <c r="B2" s="303"/>
      <c r="C2" s="303"/>
      <c r="D2" s="303"/>
      <c r="E2" s="303"/>
      <c r="F2" s="303"/>
      <c r="G2" s="303"/>
      <c r="H2" s="303"/>
      <c r="I2" s="303"/>
    </row>
    <row r="3" spans="1:9" ht="26.25">
      <c r="A3" s="304" t="s">
        <v>172</v>
      </c>
      <c r="B3" s="304"/>
      <c r="C3" s="304"/>
      <c r="D3" s="304"/>
      <c r="E3" s="304"/>
      <c r="F3" s="304"/>
      <c r="G3" s="304"/>
      <c r="H3" s="304"/>
      <c r="I3" s="304"/>
    </row>
    <row r="4" spans="1:9" ht="33.75" customHeight="1">
      <c r="A4" s="305" t="s">
        <v>6</v>
      </c>
      <c r="B4" s="305" t="s">
        <v>7</v>
      </c>
      <c r="C4" s="305" t="s">
        <v>8</v>
      </c>
      <c r="D4" s="305" t="s">
        <v>36</v>
      </c>
      <c r="E4" s="305" t="s">
        <v>37</v>
      </c>
      <c r="F4" s="307" t="s">
        <v>38</v>
      </c>
      <c r="G4" s="14"/>
      <c r="H4" s="23" t="s">
        <v>39</v>
      </c>
      <c r="I4" s="24"/>
    </row>
    <row r="5" spans="1:9" ht="16.5" customHeight="1">
      <c r="A5" s="306"/>
      <c r="B5" s="306"/>
      <c r="C5" s="306"/>
      <c r="D5" s="306"/>
      <c r="E5" s="306"/>
      <c r="F5" s="308"/>
      <c r="G5" s="15"/>
      <c r="H5" s="25" t="s">
        <v>58</v>
      </c>
      <c r="I5" s="25" t="s">
        <v>75</v>
      </c>
    </row>
    <row r="6" spans="1:10" ht="16.5" customHeight="1">
      <c r="A6" s="97" t="str">
        <f>'Office Sharing Payment Ratio'!A5</f>
        <v>SNAP</v>
      </c>
      <c r="B6" s="97">
        <f>'Office Sharing Payment Ratio'!B5</f>
        <v>1</v>
      </c>
      <c r="C6" s="97">
        <f>'Office Sharing Payment Ratio'!C5</f>
        <v>15</v>
      </c>
      <c r="D6" s="105">
        <f>C6/37.5</f>
        <v>0.4</v>
      </c>
      <c r="E6" s="106">
        <f aca="true" t="shared" si="0" ref="E6:E12">D6/SUM(D$6:D$12)</f>
        <v>0.04081632653061224</v>
      </c>
      <c r="F6" s="115">
        <f>E6*'Cost by Allocation Base'!$C$12</f>
        <v>4157.142857142857</v>
      </c>
      <c r="G6" s="116"/>
      <c r="H6" s="115">
        <f>F6*$H$22</f>
        <v>367.3469387755102</v>
      </c>
      <c r="I6" s="117">
        <f>F6*$I$22</f>
        <v>3789.7959183673465</v>
      </c>
      <c r="J6" s="261" t="s">
        <v>146</v>
      </c>
    </row>
    <row r="7" spans="1:10" ht="16.5" customHeight="1">
      <c r="A7" s="97" t="str">
        <f>'Office Sharing Payment Ratio'!A6</f>
        <v>RESEA</v>
      </c>
      <c r="B7" s="97">
        <f>'Office Sharing Payment Ratio'!B6</f>
        <v>1</v>
      </c>
      <c r="C7" s="97">
        <f>'Office Sharing Payment Ratio'!C6</f>
        <v>10</v>
      </c>
      <c r="D7" s="105">
        <f aca="true" t="shared" si="1" ref="D7:D16">C7/37.5</f>
        <v>0.26666666666666666</v>
      </c>
      <c r="E7" s="106">
        <f t="shared" si="0"/>
        <v>0.027210884353741496</v>
      </c>
      <c r="F7" s="115">
        <f>E7*'Cost by Allocation Base'!$C$12</f>
        <v>2771.428571428571</v>
      </c>
      <c r="G7" s="116"/>
      <c r="H7" s="115">
        <f aca="true" t="shared" si="2" ref="H7:H12">F7*$H$22</f>
        <v>244.89795918367346</v>
      </c>
      <c r="I7" s="117">
        <f aca="true" t="shared" si="3" ref="I7:I12">F7*$I$22</f>
        <v>2526.5306122448974</v>
      </c>
      <c r="J7" s="261"/>
    </row>
    <row r="8" spans="1:10" s="70" customFormat="1" ht="16.5" customHeight="1">
      <c r="A8" s="97" t="str">
        <f>'Office Sharing Payment Ratio'!A7</f>
        <v>VETS</v>
      </c>
      <c r="B8" s="97">
        <f>'Office Sharing Payment Ratio'!B7</f>
        <v>1</v>
      </c>
      <c r="C8" s="97">
        <f>'Office Sharing Payment Ratio'!C7</f>
        <v>37.5</v>
      </c>
      <c r="D8" s="104">
        <f t="shared" si="1"/>
        <v>1</v>
      </c>
      <c r="E8" s="106">
        <f t="shared" si="0"/>
        <v>0.1020408163265306</v>
      </c>
      <c r="F8" s="115">
        <f>E8*'Cost by Allocation Base'!$C$12</f>
        <v>10392.857142857141</v>
      </c>
      <c r="G8" s="118"/>
      <c r="H8" s="115">
        <f t="shared" si="2"/>
        <v>918.3673469387754</v>
      </c>
      <c r="I8" s="117">
        <f t="shared" si="3"/>
        <v>9474.489795918365</v>
      </c>
      <c r="J8" s="261"/>
    </row>
    <row r="9" spans="1:10" ht="16.5" customHeight="1">
      <c r="A9" s="97" t="str">
        <f>'Office Sharing Payment Ratio'!A8</f>
        <v>TAA</v>
      </c>
      <c r="B9" s="97">
        <f>'Office Sharing Payment Ratio'!B8</f>
        <v>1</v>
      </c>
      <c r="C9" s="97">
        <f>'Office Sharing Payment Ratio'!C8</f>
        <v>5</v>
      </c>
      <c r="D9" s="105">
        <f t="shared" si="1"/>
        <v>0.13333333333333333</v>
      </c>
      <c r="E9" s="106">
        <f t="shared" si="0"/>
        <v>0.013605442176870748</v>
      </c>
      <c r="F9" s="115">
        <f>E9*'Cost by Allocation Base'!$C$12</f>
        <v>1385.7142857142856</v>
      </c>
      <c r="G9" s="116"/>
      <c r="H9" s="115">
        <f t="shared" si="2"/>
        <v>122.44897959183673</v>
      </c>
      <c r="I9" s="117">
        <f t="shared" si="3"/>
        <v>1263.2653061224487</v>
      </c>
      <c r="J9" s="261"/>
    </row>
    <row r="10" spans="1:10" ht="16.5" customHeight="1">
      <c r="A10" s="97" t="str">
        <f>'Office Sharing Payment Ratio'!A9</f>
        <v>Wagner-Peyser Employment Services (ES)</v>
      </c>
      <c r="B10" s="97">
        <v>3</v>
      </c>
      <c r="C10" s="97">
        <v>195</v>
      </c>
      <c r="D10" s="105">
        <f t="shared" si="1"/>
        <v>5.2</v>
      </c>
      <c r="E10" s="106">
        <f t="shared" si="0"/>
        <v>0.5306122448979592</v>
      </c>
      <c r="F10" s="115">
        <f>E10*'Cost by Allocation Base'!$C$12</f>
        <v>54042.857142857145</v>
      </c>
      <c r="G10" s="116"/>
      <c r="H10" s="115">
        <f t="shared" si="2"/>
        <v>4775.510204081633</v>
      </c>
      <c r="I10" s="117">
        <f t="shared" si="3"/>
        <v>49267.34693877551</v>
      </c>
      <c r="J10" s="261"/>
    </row>
    <row r="11" spans="1:10" ht="16.5" customHeight="1">
      <c r="A11" s="97" t="s">
        <v>142</v>
      </c>
      <c r="B11" s="97">
        <v>1</v>
      </c>
      <c r="C11" s="97">
        <v>37.5</v>
      </c>
      <c r="D11" s="105">
        <f t="shared" si="1"/>
        <v>1</v>
      </c>
      <c r="E11" s="106">
        <f t="shared" si="0"/>
        <v>0.1020408163265306</v>
      </c>
      <c r="F11" s="115">
        <f>E11*'Cost by Allocation Base'!$C$12</f>
        <v>10392.857142857141</v>
      </c>
      <c r="G11" s="116"/>
      <c r="H11" s="115">
        <f t="shared" si="2"/>
        <v>918.3673469387754</v>
      </c>
      <c r="I11" s="117">
        <f t="shared" si="3"/>
        <v>9474.489795918365</v>
      </c>
      <c r="J11" s="261"/>
    </row>
    <row r="12" spans="1:10" ht="16.5" customHeight="1">
      <c r="A12" s="97" t="str">
        <f>'Office Sharing Payment Ratio'!A11</f>
        <v>WIOA Adult, Dislocated Workers, and Youth Programs</v>
      </c>
      <c r="B12" s="97">
        <v>2</v>
      </c>
      <c r="C12" s="97">
        <v>67.5</v>
      </c>
      <c r="D12" s="105">
        <f t="shared" si="1"/>
        <v>1.8</v>
      </c>
      <c r="E12" s="106">
        <f t="shared" si="0"/>
        <v>0.18367346938775508</v>
      </c>
      <c r="F12" s="115">
        <f>E12*'Cost by Allocation Base'!$C$12</f>
        <v>18707.142857142855</v>
      </c>
      <c r="G12" s="116"/>
      <c r="H12" s="115">
        <f t="shared" si="2"/>
        <v>1653.061224489796</v>
      </c>
      <c r="I12" s="117">
        <f t="shared" si="3"/>
        <v>17054.08163265306</v>
      </c>
      <c r="J12" s="261"/>
    </row>
    <row r="13" spans="1:10" ht="16.5" customHeight="1">
      <c r="A13" s="77" t="str">
        <f>'Office Sharing Payment Ratio'!A12</f>
        <v>WIOA Adult, Dislocated Workers, and Youth Programs</v>
      </c>
      <c r="B13" s="77">
        <v>1</v>
      </c>
      <c r="C13" s="77">
        <v>45</v>
      </c>
      <c r="D13" s="125">
        <f t="shared" si="1"/>
        <v>1.2</v>
      </c>
      <c r="E13" s="121">
        <f>D13/SUM(D13)</f>
        <v>1</v>
      </c>
      <c r="F13" s="122">
        <f>E13*'Cost by Allocation Base'!C9</f>
        <v>15580</v>
      </c>
      <c r="G13" s="126"/>
      <c r="H13" s="122">
        <f>F13*$H$19</f>
        <v>3200</v>
      </c>
      <c r="I13" s="127">
        <f>F13*$I$19</f>
        <v>12380</v>
      </c>
      <c r="J13" s="239" t="s">
        <v>148</v>
      </c>
    </row>
    <row r="14" spans="1:10" ht="16.5" customHeight="1">
      <c r="A14" s="83" t="str">
        <f>'Office Sharing Payment Ratio'!A13</f>
        <v>WIOA Adult, Dislocated Workers, and Youth Programs</v>
      </c>
      <c r="B14" s="83">
        <v>2</v>
      </c>
      <c r="C14" s="83">
        <v>75</v>
      </c>
      <c r="D14" s="142">
        <f t="shared" si="1"/>
        <v>2</v>
      </c>
      <c r="E14" s="143">
        <f>D14/SUM(D14)</f>
        <v>1</v>
      </c>
      <c r="F14" s="148">
        <f>E14*'Cost by Allocation Base'!C10</f>
        <v>16385</v>
      </c>
      <c r="G14" s="149"/>
      <c r="H14" s="148">
        <f>F14*$H$20</f>
        <v>4000</v>
      </c>
      <c r="I14" s="150">
        <f>F14*$I$20</f>
        <v>12385</v>
      </c>
      <c r="J14" s="240" t="s">
        <v>145</v>
      </c>
    </row>
    <row r="15" spans="1:10" ht="16.5" customHeight="1">
      <c r="A15" s="89" t="str">
        <f>'Office Sharing Payment Ratio'!A14</f>
        <v>WIOA Adult, Dislocated Workers, and Youth Programs</v>
      </c>
      <c r="B15" s="89">
        <v>1</v>
      </c>
      <c r="C15" s="89">
        <v>58</v>
      </c>
      <c r="D15" s="162">
        <f t="shared" si="1"/>
        <v>1.5466666666666666</v>
      </c>
      <c r="E15" s="158">
        <f>D15/SUM(D$15:D$16)</f>
        <v>0.7733333333333333</v>
      </c>
      <c r="F15" s="159">
        <f>E15*'Cost by Allocation Base'!$C$11</f>
        <v>12671.066666666666</v>
      </c>
      <c r="G15" s="163"/>
      <c r="H15" s="159">
        <f>F15*$H$21</f>
        <v>3093.333333333333</v>
      </c>
      <c r="I15" s="164">
        <f>F15*$I$21</f>
        <v>9577.733333333332</v>
      </c>
      <c r="J15" s="262" t="s">
        <v>147</v>
      </c>
    </row>
    <row r="16" spans="1:10" ht="16.5" customHeight="1">
      <c r="A16" s="89" t="s">
        <v>76</v>
      </c>
      <c r="B16" s="89">
        <f>'Office Sharing Payment Ratio'!B15</f>
        <v>1</v>
      </c>
      <c r="C16" s="89">
        <f>'Office Sharing Payment Ratio'!C15</f>
        <v>17</v>
      </c>
      <c r="D16" s="162">
        <f t="shared" si="1"/>
        <v>0.4533333333333333</v>
      </c>
      <c r="E16" s="158">
        <f>D16/SUM(D$15:D$16)</f>
        <v>0.22666666666666666</v>
      </c>
      <c r="F16" s="159">
        <f>E16*'Cost by Allocation Base'!$C$11</f>
        <v>3713.933333333333</v>
      </c>
      <c r="G16" s="163"/>
      <c r="H16" s="159">
        <f>F16*$H$21</f>
        <v>906.6666666666665</v>
      </c>
      <c r="I16" s="164">
        <f>F16*$I$21</f>
        <v>2807.2666666666664</v>
      </c>
      <c r="J16" s="262"/>
    </row>
    <row r="17" spans="1:9" ht="16.5" customHeight="1">
      <c r="A17" s="1" t="s">
        <v>5</v>
      </c>
      <c r="B17" s="16">
        <f>SUM(B6:B16)</f>
        <v>15</v>
      </c>
      <c r="C17" s="11">
        <f>SUM(C6:C16)</f>
        <v>562.5</v>
      </c>
      <c r="D17" s="26">
        <f>SUM(D6:D16)</f>
        <v>15</v>
      </c>
      <c r="E17" s="35">
        <f>SUM(E6:E16)</f>
        <v>4</v>
      </c>
      <c r="F17" s="27">
        <f>SUM(F6:F16)</f>
        <v>150199.99999999997</v>
      </c>
      <c r="G17" s="18"/>
      <c r="H17" s="27">
        <f>SUM(H6:H16)</f>
        <v>20200</v>
      </c>
      <c r="I17" s="27">
        <f>SUM(I6:I16)</f>
        <v>129999.99999999999</v>
      </c>
    </row>
    <row r="18" spans="4:5" ht="15">
      <c r="D18" t="s">
        <v>61</v>
      </c>
      <c r="E18" s="38">
        <f>GETPIVOTDATA("Cost",'Cost by Allocation Base'!$A$3,"Allocation Base","FTE")</f>
        <v>150200</v>
      </c>
    </row>
    <row r="19" spans="6:9" ht="15">
      <c r="F19" s="238" t="s">
        <v>148</v>
      </c>
      <c r="G19" s="208"/>
      <c r="H19" s="41">
        <f>'Cost by Allocation Base'!D14</f>
        <v>0.20539152759948653</v>
      </c>
      <c r="I19" s="199">
        <f>'Cost by Allocation Base'!D9</f>
        <v>0.7946084724005135</v>
      </c>
    </row>
    <row r="20" spans="6:9" ht="15">
      <c r="F20" s="238" t="s">
        <v>147</v>
      </c>
      <c r="G20" s="242"/>
      <c r="H20" s="41">
        <f>'Cost by Allocation Base'!D15</f>
        <v>0.24412572474824534</v>
      </c>
      <c r="I20" s="199">
        <f>'Cost by Allocation Base'!D10</f>
        <v>0.7558742752517547</v>
      </c>
    </row>
    <row r="21" spans="6:9" ht="15">
      <c r="F21" s="238" t="s">
        <v>145</v>
      </c>
      <c r="G21" s="208"/>
      <c r="H21" s="41">
        <f>'Cost by Allocation Base'!D16</f>
        <v>0.24412572474824534</v>
      </c>
      <c r="I21" s="199">
        <f>'Cost by Allocation Base'!D11</f>
        <v>0.7558742752517547</v>
      </c>
    </row>
    <row r="22" spans="6:9" ht="15">
      <c r="F22" s="238" t="s">
        <v>146</v>
      </c>
      <c r="G22" s="208"/>
      <c r="H22" s="41">
        <f>'Cost by Allocation Base'!D17</f>
        <v>0.08836524300441827</v>
      </c>
      <c r="I22" s="199">
        <f>'Cost by Allocation Base'!D12</f>
        <v>0.9116347569955817</v>
      </c>
    </row>
    <row r="24" spans="1:6" ht="15">
      <c r="A24" s="263" t="s">
        <v>163</v>
      </c>
      <c r="B24" s="263"/>
      <c r="C24" s="263"/>
      <c r="D24" s="263"/>
      <c r="E24" s="263"/>
      <c r="F24" s="263"/>
    </row>
    <row r="25" spans="1:6" ht="15">
      <c r="A25" s="263"/>
      <c r="B25" s="263"/>
      <c r="C25" s="263"/>
      <c r="D25" s="263"/>
      <c r="E25" s="263"/>
      <c r="F25" s="263"/>
    </row>
    <row r="26" spans="1:6" ht="15">
      <c r="A26" s="263"/>
      <c r="B26" s="263"/>
      <c r="C26" s="263"/>
      <c r="D26" s="263"/>
      <c r="E26" s="263"/>
      <c r="F26" s="263"/>
    </row>
    <row r="27" spans="1:6" ht="15">
      <c r="A27" s="263"/>
      <c r="B27" s="263"/>
      <c r="C27" s="263"/>
      <c r="D27" s="263"/>
      <c r="E27" s="263"/>
      <c r="F27" s="263"/>
    </row>
    <row r="28" spans="1:6" ht="15">
      <c r="A28" s="263"/>
      <c r="B28" s="263"/>
      <c r="C28" s="263"/>
      <c r="D28" s="263"/>
      <c r="E28" s="263"/>
      <c r="F28" s="263"/>
    </row>
    <row r="29" spans="1:6" ht="15">
      <c r="A29" s="263"/>
      <c r="B29" s="263"/>
      <c r="C29" s="263"/>
      <c r="D29" s="263"/>
      <c r="E29" s="263"/>
      <c r="F29" s="263"/>
    </row>
    <row r="30" spans="1:6" ht="15">
      <c r="A30" s="263"/>
      <c r="B30" s="263"/>
      <c r="C30" s="263"/>
      <c r="D30" s="263"/>
      <c r="E30" s="263"/>
      <c r="F30" s="263"/>
    </row>
    <row r="31" spans="1:6" ht="15">
      <c r="A31" s="263"/>
      <c r="B31" s="263"/>
      <c r="C31" s="263"/>
      <c r="D31" s="263"/>
      <c r="E31" s="263"/>
      <c r="F31" s="263"/>
    </row>
    <row r="32" spans="1:6" ht="15">
      <c r="A32" s="263"/>
      <c r="B32" s="263"/>
      <c r="C32" s="263"/>
      <c r="D32" s="263"/>
      <c r="E32" s="263"/>
      <c r="F32" s="263"/>
    </row>
    <row r="33" spans="1:6" ht="15">
      <c r="A33" s="263"/>
      <c r="B33" s="263"/>
      <c r="C33" s="263"/>
      <c r="D33" s="263"/>
      <c r="E33" s="263"/>
      <c r="F33" s="263"/>
    </row>
    <row r="34" spans="1:6" ht="15">
      <c r="A34" s="263"/>
      <c r="B34" s="263"/>
      <c r="C34" s="263"/>
      <c r="D34" s="263"/>
      <c r="E34" s="263"/>
      <c r="F34" s="263"/>
    </row>
    <row r="35" spans="1:6" ht="15">
      <c r="A35" s="263"/>
      <c r="B35" s="263"/>
      <c r="C35" s="263"/>
      <c r="D35" s="263"/>
      <c r="E35" s="263"/>
      <c r="F35" s="263"/>
    </row>
    <row r="36" spans="1:6" ht="15">
      <c r="A36" s="263"/>
      <c r="B36" s="263"/>
      <c r="C36" s="263"/>
      <c r="D36" s="263"/>
      <c r="E36" s="263"/>
      <c r="F36" s="263"/>
    </row>
  </sheetData>
  <sheetProtection/>
  <mergeCells count="11">
    <mergeCell ref="F4:F5"/>
    <mergeCell ref="A24:F36"/>
    <mergeCell ref="J6:J12"/>
    <mergeCell ref="J15:J16"/>
    <mergeCell ref="A2:I2"/>
    <mergeCell ref="A3:I3"/>
    <mergeCell ref="E4:E5"/>
    <mergeCell ref="D4:D5"/>
    <mergeCell ref="C4:C5"/>
    <mergeCell ref="B4:B5"/>
    <mergeCell ref="A4:A5"/>
  </mergeCells>
  <printOptions/>
  <pageMargins left="0.7" right="0.7" top="0.75" bottom="0.75" header="0.3" footer="0.3"/>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Tennessee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Ledbetter</dc:creator>
  <cp:keywords/>
  <dc:description/>
  <cp:lastModifiedBy>Julie Mellon</cp:lastModifiedBy>
  <cp:lastPrinted>2017-08-29T20:00:00Z</cp:lastPrinted>
  <dcterms:created xsi:type="dcterms:W3CDTF">2017-04-03T16:18:41Z</dcterms:created>
  <dcterms:modified xsi:type="dcterms:W3CDTF">2018-01-08T18:45:35Z</dcterms:modified>
  <cp:category/>
  <cp:version/>
  <cp:contentType/>
  <cp:contentStatus/>
</cp:coreProperties>
</file>